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hilaryb\CmisSync\files.sprep.org\PacWastePlusLocal\REPORTS &amp; OUTPUTS\2025-05 - Sustainable Finance Models x2\"/>
    </mc:Choice>
  </mc:AlternateContent>
  <xr:revisionPtr revIDLastSave="0" documentId="13_ncr:1_{5F91E4EE-CF4E-4131-8626-BA32BFE9F3BD}" xr6:coauthVersionLast="47" xr6:coauthVersionMax="47" xr10:uidLastSave="{00000000-0000-0000-0000-000000000000}"/>
  <bookViews>
    <workbookView xWindow="-105" yWindow="0" windowWidth="14610" windowHeight="15585" tabRatio="933" xr2:uid="{00000000-000D-0000-FFFF-FFFF00000000}"/>
  </bookViews>
  <sheets>
    <sheet name="MANUAL" sheetId="19" r:id="rId1"/>
    <sheet name="Collection Scenario" sheetId="18" r:id="rId2"/>
    <sheet name="Questions" sheetId="21" r:id="rId3"/>
    <sheet name="Dashboard" sheetId="15" r:id="rId4"/>
    <sheet name="INITIAL DATA" sheetId="1" r:id="rId5"/>
    <sheet name="INITIAL INVESTMENT" sheetId="4" r:id="rId6"/>
    <sheet name="HANDLING COSTS" sheetId="2" r:id="rId7"/>
    <sheet name="INTERNAL SHIPMENT" sheetId="17" r:id="rId8"/>
    <sheet name="FEES" sheetId="13" r:id="rId9"/>
    <sheet name="OUTPUTS" sheetId="12" r:id="rId10"/>
    <sheet name="EXTERNAL INCOMES" sheetId="6" r:id="rId11"/>
    <sheet name="EXTERNAL SHIPMENT" sheetId="16" r:id="rId12"/>
  </sheets>
  <definedNames>
    <definedName name="_xlnm.Print_Area" localSheetId="3">Dashboard!$A$6:$P$113</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K20" i="16" l="1"/>
  <c r="K21" i="16"/>
  <c r="K19" i="16"/>
  <c r="K15" i="16"/>
  <c r="K16" i="16"/>
  <c r="K14" i="16"/>
  <c r="G38" i="17"/>
  <c r="G36" i="17"/>
  <c r="G34" i="17"/>
  <c r="G32" i="17"/>
  <c r="G30" i="17"/>
  <c r="G28" i="17"/>
  <c r="G26" i="17"/>
  <c r="G24" i="17"/>
  <c r="G22" i="17"/>
  <c r="F31" i="17"/>
  <c r="F29" i="17"/>
  <c r="F32" i="17"/>
  <c r="F33" i="17"/>
  <c r="F35" i="17"/>
  <c r="F37" i="17"/>
  <c r="F39" i="17"/>
  <c r="F38" i="17"/>
  <c r="F36" i="17"/>
  <c r="F34" i="17"/>
  <c r="F30" i="17"/>
  <c r="F28" i="17"/>
  <c r="F26" i="17"/>
  <c r="F25" i="17"/>
  <c r="F24" i="17"/>
  <c r="F22" i="17"/>
  <c r="B35" i="17"/>
  <c r="B34" i="17"/>
  <c r="B33" i="17"/>
  <c r="B32" i="17"/>
  <c r="B31" i="17"/>
  <c r="B30" i="17"/>
  <c r="B29" i="17"/>
  <c r="B28" i="17"/>
  <c r="C32" i="17"/>
  <c r="C29" i="17"/>
  <c r="C28" i="17"/>
  <c r="C35" i="17"/>
  <c r="C34" i="17"/>
  <c r="C33" i="17"/>
  <c r="C31" i="17"/>
  <c r="C30" i="17"/>
  <c r="R31" i="2"/>
  <c r="R23" i="2"/>
  <c r="R15" i="2"/>
  <c r="Z15" i="2" s="1"/>
  <c r="J31" i="2"/>
  <c r="J23" i="2"/>
  <c r="J15" i="2"/>
  <c r="H92" i="2"/>
  <c r="I85" i="2"/>
  <c r="I86" i="2"/>
  <c r="I87" i="2"/>
  <c r="I84" i="2"/>
  <c r="D19" i="2"/>
  <c r="D18" i="2"/>
  <c r="D22" i="2" s="1"/>
  <c r="C11" i="2"/>
  <c r="C12" i="2"/>
  <c r="C10" i="2"/>
  <c r="C23" i="4"/>
  <c r="C12" i="4"/>
  <c r="C13" i="4"/>
  <c r="C14" i="4"/>
  <c r="C15" i="4"/>
  <c r="I16" i="4" s="1"/>
  <c r="C16" i="4"/>
  <c r="C17" i="4"/>
  <c r="C11" i="4"/>
  <c r="P75" i="4"/>
  <c r="P69" i="4"/>
  <c r="P63" i="4"/>
  <c r="P57" i="4"/>
  <c r="P51" i="4"/>
  <c r="P45" i="4"/>
  <c r="P39" i="4"/>
  <c r="P33" i="4"/>
  <c r="P26" i="4"/>
  <c r="P19" i="4"/>
  <c r="P12" i="4"/>
  <c r="K57" i="4"/>
  <c r="K51" i="4"/>
  <c r="K45" i="4"/>
  <c r="K39" i="4"/>
  <c r="K33" i="4"/>
  <c r="K26" i="4"/>
  <c r="K19" i="4"/>
  <c r="K12" i="4"/>
  <c r="F39" i="4"/>
  <c r="F33" i="4"/>
  <c r="F26" i="4"/>
  <c r="F12" i="4"/>
  <c r="F19" i="4"/>
  <c r="J88" i="1"/>
  <c r="J87" i="1"/>
  <c r="J86" i="1"/>
  <c r="J85" i="1"/>
  <c r="J84" i="1"/>
  <c r="J83" i="1"/>
  <c r="J82" i="1"/>
  <c r="J81" i="1"/>
  <c r="J80" i="1"/>
  <c r="O119" i="1"/>
  <c r="O118" i="1"/>
  <c r="O117" i="1"/>
  <c r="O116" i="1"/>
  <c r="O115" i="1"/>
  <c r="O114" i="1"/>
  <c r="O113" i="1"/>
  <c r="O112" i="1"/>
  <c r="O111" i="1"/>
  <c r="O110" i="1"/>
  <c r="O109" i="1"/>
  <c r="N110" i="1"/>
  <c r="N111" i="1"/>
  <c r="N112" i="1"/>
  <c r="N113" i="1"/>
  <c r="N114" i="1"/>
  <c r="N115" i="1"/>
  <c r="N116" i="1"/>
  <c r="N117" i="1"/>
  <c r="N118" i="1"/>
  <c r="N119" i="1"/>
  <c r="N109" i="1"/>
  <c r="O101" i="1"/>
  <c r="O100" i="1"/>
  <c r="O99" i="1"/>
  <c r="O98" i="1"/>
  <c r="O97" i="1"/>
  <c r="O96" i="1"/>
  <c r="O95" i="1"/>
  <c r="O94" i="1"/>
  <c r="N95" i="1"/>
  <c r="N96" i="1"/>
  <c r="N97" i="1"/>
  <c r="N98" i="1"/>
  <c r="N99" i="1"/>
  <c r="N100" i="1"/>
  <c r="N101" i="1"/>
  <c r="N94" i="1"/>
  <c r="O83" i="1"/>
  <c r="O84" i="1"/>
  <c r="O85" i="1"/>
  <c r="O86" i="1"/>
  <c r="O82" i="1"/>
  <c r="N83" i="1"/>
  <c r="N84" i="1"/>
  <c r="N85" i="1"/>
  <c r="N86" i="1"/>
  <c r="N82" i="1"/>
  <c r="P115" i="1"/>
  <c r="G43" i="17" l="1"/>
  <c r="G42" i="17"/>
  <c r="I92" i="2"/>
  <c r="K82" i="1"/>
  <c r="K80" i="1"/>
  <c r="K84" i="1"/>
  <c r="K85" i="1"/>
  <c r="K86" i="1"/>
  <c r="K83" i="1"/>
  <c r="K87" i="1"/>
  <c r="K88" i="1"/>
  <c r="K81" i="1"/>
  <c r="P103" i="1" l="1"/>
  <c r="P122" i="1"/>
  <c r="P88" i="1"/>
  <c r="E23" i="1" l="1"/>
  <c r="D23" i="1" s="1"/>
  <c r="E22" i="1"/>
  <c r="D22" i="1" s="1"/>
  <c r="E21" i="1"/>
  <c r="D21" i="1" s="1"/>
  <c r="E20" i="1"/>
  <c r="G20" i="1" s="1"/>
  <c r="D35" i="15"/>
  <c r="L66" i="13"/>
  <c r="M58" i="4"/>
  <c r="N58" i="4" s="1"/>
  <c r="R58" i="4"/>
  <c r="S58" i="4" s="1"/>
  <c r="I40" i="4"/>
  <c r="G63" i="1"/>
  <c r="G64" i="1" s="1"/>
  <c r="G65" i="1" s="1"/>
  <c r="G66" i="1" s="1"/>
  <c r="G67" i="1" s="1"/>
  <c r="G68" i="1" s="1"/>
  <c r="G69" i="1" s="1"/>
  <c r="G70" i="1" s="1"/>
  <c r="G61" i="1"/>
  <c r="G60" i="1" s="1"/>
  <c r="G59" i="1" s="1"/>
  <c r="G58" i="1" s="1"/>
  <c r="R75" i="4"/>
  <c r="R69" i="4"/>
  <c r="R63" i="4"/>
  <c r="R57" i="4"/>
  <c r="R51" i="4"/>
  <c r="R45" i="4"/>
  <c r="R39" i="4"/>
  <c r="R33" i="4"/>
  <c r="R26" i="4"/>
  <c r="R19" i="4"/>
  <c r="R12" i="4"/>
  <c r="S12" i="4" s="1"/>
  <c r="M57" i="4"/>
  <c r="M51" i="4"/>
  <c r="M45" i="4"/>
  <c r="M39" i="4"/>
  <c r="M33" i="4"/>
  <c r="M26" i="4"/>
  <c r="M19" i="4"/>
  <c r="M12" i="4"/>
  <c r="H39" i="4"/>
  <c r="H33" i="4"/>
  <c r="H26" i="4"/>
  <c r="H19" i="4"/>
  <c r="R20" i="4" s="1"/>
  <c r="H12" i="4"/>
  <c r="I12" i="4" s="1"/>
  <c r="R76" i="4"/>
  <c r="S76" i="4" s="1"/>
  <c r="R70" i="4"/>
  <c r="S70" i="4" s="1"/>
  <c r="R64" i="4"/>
  <c r="S64" i="4" s="1"/>
  <c r="R52" i="4"/>
  <c r="S52" i="4" s="1"/>
  <c r="R46" i="4"/>
  <c r="S46" i="4" s="1"/>
  <c r="R40" i="4"/>
  <c r="S40" i="4" s="1"/>
  <c r="R34" i="4"/>
  <c r="S34" i="4" s="1"/>
  <c r="R29" i="4"/>
  <c r="R22" i="4"/>
  <c r="R15" i="4"/>
  <c r="S15" i="4" s="1"/>
  <c r="M52" i="4"/>
  <c r="N52" i="4" s="1"/>
  <c r="M46" i="4"/>
  <c r="N46" i="4" s="1"/>
  <c r="M40" i="4"/>
  <c r="N40" i="4" s="1"/>
  <c r="M34" i="4"/>
  <c r="N34" i="4" s="1"/>
  <c r="M29" i="4"/>
  <c r="M22" i="4"/>
  <c r="M15" i="4"/>
  <c r="N15" i="4" s="1"/>
  <c r="H40" i="4"/>
  <c r="H34" i="4"/>
  <c r="I34" i="4" s="1"/>
  <c r="H29" i="4"/>
  <c r="H22" i="4"/>
  <c r="H15" i="4"/>
  <c r="Q94" i="1"/>
  <c r="R94" i="1" s="1"/>
  <c r="P95" i="1"/>
  <c r="P96" i="1"/>
  <c r="P97" i="1"/>
  <c r="P98" i="1"/>
  <c r="P99" i="1"/>
  <c r="P100" i="1"/>
  <c r="P101" i="1"/>
  <c r="P94" i="1"/>
  <c r="Q83" i="1"/>
  <c r="R83" i="1" s="1"/>
  <c r="Q84" i="1"/>
  <c r="R84" i="1" s="1"/>
  <c r="Q85" i="1"/>
  <c r="R85" i="1" s="1"/>
  <c r="Q86" i="1"/>
  <c r="R86" i="1" s="1"/>
  <c r="Q82" i="1"/>
  <c r="R82" i="1" s="1"/>
  <c r="P83" i="1"/>
  <c r="P84" i="1"/>
  <c r="P85" i="1"/>
  <c r="P86" i="1"/>
  <c r="P82" i="1"/>
  <c r="Q110" i="1"/>
  <c r="R110" i="1" s="1"/>
  <c r="Q111" i="1"/>
  <c r="R111" i="1" s="1"/>
  <c r="Q112" i="1"/>
  <c r="R112" i="1" s="1"/>
  <c r="Q113" i="1"/>
  <c r="R113" i="1" s="1"/>
  <c r="Q114" i="1"/>
  <c r="R114" i="1" s="1"/>
  <c r="Q115" i="1"/>
  <c r="R115" i="1" s="1"/>
  <c r="Q116" i="1"/>
  <c r="R116" i="1" s="1"/>
  <c r="Q117" i="1"/>
  <c r="R117" i="1" s="1"/>
  <c r="Q118" i="1"/>
  <c r="R118" i="1" s="1"/>
  <c r="Q119" i="1"/>
  <c r="R119" i="1" s="1"/>
  <c r="Q109" i="1"/>
  <c r="R109" i="1" s="1"/>
  <c r="P110" i="1"/>
  <c r="P111" i="1"/>
  <c r="P112" i="1"/>
  <c r="P113" i="1"/>
  <c r="P114" i="1"/>
  <c r="P116" i="1"/>
  <c r="P117" i="1"/>
  <c r="P118" i="1"/>
  <c r="P119" i="1"/>
  <c r="P109" i="1"/>
  <c r="Q95" i="1"/>
  <c r="R95" i="1" s="1"/>
  <c r="Q96" i="1"/>
  <c r="R96" i="1" s="1"/>
  <c r="Q97" i="1"/>
  <c r="R97" i="1" s="1"/>
  <c r="Q98" i="1"/>
  <c r="R98" i="1" s="1"/>
  <c r="Q99" i="1"/>
  <c r="R99" i="1" s="1"/>
  <c r="Q100" i="1"/>
  <c r="R100" i="1" s="1"/>
  <c r="Q101" i="1"/>
  <c r="R101" i="1" s="1"/>
  <c r="H8" i="17"/>
  <c r="E45" i="2"/>
  <c r="F45" i="2" s="1"/>
  <c r="K24" i="12"/>
  <c r="D10" i="16"/>
  <c r="L66" i="1" l="1"/>
  <c r="R88" i="1"/>
  <c r="D20" i="1"/>
  <c r="G27" i="17"/>
  <c r="H27" i="17" s="1"/>
  <c r="AD96" i="2"/>
  <c r="AC96" i="2"/>
  <c r="AB96" i="2"/>
  <c r="AA96" i="2"/>
  <c r="Z96" i="2"/>
  <c r="AD95" i="2"/>
  <c r="AC95" i="2"/>
  <c r="AB95" i="2"/>
  <c r="AA95" i="2"/>
  <c r="Z95" i="2"/>
  <c r="AD91" i="2"/>
  <c r="AC91" i="2"/>
  <c r="AB91" i="2"/>
  <c r="AA91" i="2"/>
  <c r="Z91" i="2"/>
  <c r="AD88" i="2"/>
  <c r="AC88" i="2"/>
  <c r="AB88" i="2"/>
  <c r="AA88" i="2"/>
  <c r="Z88" i="2"/>
  <c r="AD87" i="2"/>
  <c r="AC87" i="2"/>
  <c r="AB87" i="2"/>
  <c r="AA87" i="2"/>
  <c r="Z87" i="2"/>
  <c r="AD83" i="2"/>
  <c r="AC83" i="2"/>
  <c r="AB83" i="2"/>
  <c r="AA83" i="2"/>
  <c r="Z83" i="2"/>
  <c r="AD80" i="2"/>
  <c r="AC80" i="2"/>
  <c r="AB80" i="2"/>
  <c r="AA80" i="2"/>
  <c r="Z80" i="2"/>
  <c r="AD79" i="2"/>
  <c r="AC79" i="2"/>
  <c r="AB79" i="2"/>
  <c r="AA79" i="2"/>
  <c r="Z79" i="2"/>
  <c r="Z51" i="2"/>
  <c r="AA51" i="2"/>
  <c r="AB51" i="2"/>
  <c r="AC51" i="2"/>
  <c r="AD51" i="2"/>
  <c r="AA55" i="2"/>
  <c r="AB55" i="2"/>
  <c r="AC55" i="2"/>
  <c r="AD55" i="2"/>
  <c r="AA56" i="2"/>
  <c r="AB56" i="2"/>
  <c r="AC56" i="2"/>
  <c r="AD56" i="2"/>
  <c r="Z59" i="2"/>
  <c r="AA59" i="2"/>
  <c r="AB59" i="2"/>
  <c r="AC59" i="2"/>
  <c r="AD59" i="2"/>
  <c r="Z63" i="2"/>
  <c r="AA63" i="2"/>
  <c r="AB63" i="2"/>
  <c r="AC63" i="2"/>
  <c r="AD63" i="2"/>
  <c r="Z64" i="2"/>
  <c r="AA64" i="2"/>
  <c r="AB64" i="2"/>
  <c r="AC64" i="2"/>
  <c r="AD64" i="2"/>
  <c r="Z67" i="2"/>
  <c r="AA67" i="2"/>
  <c r="AB67" i="2"/>
  <c r="AC67" i="2"/>
  <c r="AD67" i="2"/>
  <c r="Z71" i="2"/>
  <c r="AA71" i="2"/>
  <c r="AB71" i="2"/>
  <c r="AC71" i="2"/>
  <c r="AD71" i="2"/>
  <c r="Z72" i="2"/>
  <c r="AA72" i="2"/>
  <c r="AB72" i="2"/>
  <c r="AC72" i="2"/>
  <c r="AD72" i="2"/>
  <c r="Z48" i="2"/>
  <c r="R55" i="2"/>
  <c r="Z55" i="2" s="1"/>
  <c r="R39" i="2"/>
  <c r="Z39" i="2" s="1"/>
  <c r="R40" i="2"/>
  <c r="Z40" i="2" s="1"/>
  <c r="R47" i="2"/>
  <c r="Z47" i="2" s="1"/>
  <c r="R48" i="2"/>
  <c r="R56" i="2" s="1"/>
  <c r="Z56" i="2" s="1"/>
  <c r="R16" i="2"/>
  <c r="Z16" i="2" s="1"/>
  <c r="Z23" i="2"/>
  <c r="R24" i="2"/>
  <c r="Z24" i="2" s="1"/>
  <c r="Z31" i="2"/>
  <c r="R32" i="2"/>
  <c r="Z32" i="2" s="1"/>
  <c r="R35" i="2"/>
  <c r="Z35" i="2" s="1"/>
  <c r="K48" i="2"/>
  <c r="L48" i="2" s="1"/>
  <c r="M48" i="2" s="1"/>
  <c r="N48" i="2" s="1"/>
  <c r="V48" i="2" s="1"/>
  <c r="AD48" i="2" s="1"/>
  <c r="K47" i="2"/>
  <c r="L47" i="2" s="1"/>
  <c r="M47" i="2" s="1"/>
  <c r="N47" i="2" s="1"/>
  <c r="V47" i="2" s="1"/>
  <c r="AD47" i="2" s="1"/>
  <c r="J43" i="2"/>
  <c r="K43" i="2" s="1"/>
  <c r="L43" i="2" s="1"/>
  <c r="M43" i="2" s="1"/>
  <c r="N43" i="2" s="1"/>
  <c r="V43" i="2" s="1"/>
  <c r="AD43" i="2" s="1"/>
  <c r="K40" i="2"/>
  <c r="L40" i="2" s="1"/>
  <c r="M40" i="2" s="1"/>
  <c r="N40" i="2" s="1"/>
  <c r="V40" i="2" s="1"/>
  <c r="AD40" i="2" s="1"/>
  <c r="K39" i="2"/>
  <c r="S39" i="2" s="1"/>
  <c r="AA39" i="2" s="1"/>
  <c r="J35" i="2"/>
  <c r="K35" i="2" s="1"/>
  <c r="L35" i="2" s="1"/>
  <c r="M35" i="2" s="1"/>
  <c r="N35" i="2" s="1"/>
  <c r="V35" i="2" s="1"/>
  <c r="AD35" i="2" s="1"/>
  <c r="K32" i="2"/>
  <c r="L32" i="2" s="1"/>
  <c r="M32" i="2" s="1"/>
  <c r="N32" i="2" s="1"/>
  <c r="V32" i="2" s="1"/>
  <c r="AD32" i="2" s="1"/>
  <c r="K31" i="2"/>
  <c r="L31" i="2" s="1"/>
  <c r="M31" i="2" s="1"/>
  <c r="N31" i="2" s="1"/>
  <c r="V31" i="2" s="1"/>
  <c r="AD31" i="2" s="1"/>
  <c r="K24" i="2"/>
  <c r="L24" i="2" s="1"/>
  <c r="M24" i="2" s="1"/>
  <c r="N24" i="2" s="1"/>
  <c r="V24" i="2" s="1"/>
  <c r="AD24" i="2" s="1"/>
  <c r="K23" i="2"/>
  <c r="L23" i="2" s="1"/>
  <c r="M23" i="2" s="1"/>
  <c r="N23" i="2" s="1"/>
  <c r="V23" i="2" s="1"/>
  <c r="AD23" i="2" s="1"/>
  <c r="J22" i="2"/>
  <c r="K22" i="2" s="1"/>
  <c r="S22" i="2" s="1"/>
  <c r="AA22" i="2" s="1"/>
  <c r="R22" i="2" l="1"/>
  <c r="Z22" i="2" s="1"/>
  <c r="R43" i="2"/>
  <c r="Z43" i="2" s="1"/>
  <c r="S48" i="2"/>
  <c r="AA48" i="2" s="1"/>
  <c r="S32" i="2"/>
  <c r="AA32" i="2" s="1"/>
  <c r="S35" i="2"/>
  <c r="AA35" i="2" s="1"/>
  <c r="S43" i="2"/>
  <c r="AA43" i="2" s="1"/>
  <c r="S24" i="2"/>
  <c r="AA24" i="2" s="1"/>
  <c r="S40" i="2"/>
  <c r="AA40" i="2" s="1"/>
  <c r="S23" i="2"/>
  <c r="AA23" i="2" s="1"/>
  <c r="L39" i="2"/>
  <c r="S47" i="2"/>
  <c r="AA47" i="2" s="1"/>
  <c r="U48" i="2"/>
  <c r="AC48" i="2" s="1"/>
  <c r="U47" i="2"/>
  <c r="AC47" i="2" s="1"/>
  <c r="U43" i="2"/>
  <c r="AC43" i="2" s="1"/>
  <c r="U40" i="2"/>
  <c r="AC40" i="2" s="1"/>
  <c r="U35" i="2"/>
  <c r="AC35" i="2" s="1"/>
  <c r="U32" i="2"/>
  <c r="AC32" i="2" s="1"/>
  <c r="U31" i="2"/>
  <c r="AC31" i="2" s="1"/>
  <c r="U24" i="2"/>
  <c r="AC24" i="2" s="1"/>
  <c r="U23" i="2"/>
  <c r="AC23" i="2" s="1"/>
  <c r="S31" i="2"/>
  <c r="AA31" i="2" s="1"/>
  <c r="T48" i="2"/>
  <c r="AB48" i="2" s="1"/>
  <c r="T47" i="2"/>
  <c r="AB47" i="2" s="1"/>
  <c r="T43" i="2"/>
  <c r="AB43" i="2" s="1"/>
  <c r="T40" i="2"/>
  <c r="AB40" i="2" s="1"/>
  <c r="T35" i="2"/>
  <c r="AB35" i="2" s="1"/>
  <c r="T32" i="2"/>
  <c r="AB32" i="2" s="1"/>
  <c r="T31" i="2"/>
  <c r="AB31" i="2" s="1"/>
  <c r="T24" i="2"/>
  <c r="AB24" i="2" s="1"/>
  <c r="T23" i="2"/>
  <c r="AB23" i="2" s="1"/>
  <c r="L22" i="2"/>
  <c r="T22" i="2" s="1"/>
  <c r="AB22" i="2" s="1"/>
  <c r="M39" i="2" l="1"/>
  <c r="T39" i="2"/>
  <c r="AB39" i="2" s="1"/>
  <c r="M22" i="2"/>
  <c r="U22" i="2" s="1"/>
  <c r="AC22" i="2" s="1"/>
  <c r="N39" i="2" l="1"/>
  <c r="V39" i="2" s="1"/>
  <c r="AD39" i="2" s="1"/>
  <c r="U39" i="2"/>
  <c r="AC39" i="2" s="1"/>
  <c r="N22" i="2"/>
  <c r="V22" i="2" s="1"/>
  <c r="AD22" i="2" s="1"/>
  <c r="K16" i="2" l="1"/>
  <c r="K15" i="2"/>
  <c r="J14" i="2"/>
  <c r="K14" i="2" l="1"/>
  <c r="L14" i="2" s="1"/>
  <c r="R14" i="2"/>
  <c r="Z14" i="2" s="1"/>
  <c r="L15" i="2"/>
  <c r="S15" i="2"/>
  <c r="AA15" i="2" s="1"/>
  <c r="L16" i="2"/>
  <c r="S16" i="2"/>
  <c r="AA16" i="2" s="1"/>
  <c r="E57" i="2"/>
  <c r="E49" i="2"/>
  <c r="F49" i="2" s="1"/>
  <c r="E50" i="2"/>
  <c r="F50" i="2" s="1"/>
  <c r="E51" i="2"/>
  <c r="F51" i="2" s="1"/>
  <c r="E52" i="2"/>
  <c r="F52" i="2" s="1"/>
  <c r="E53" i="2"/>
  <c r="F53" i="2" s="1"/>
  <c r="E54" i="2"/>
  <c r="F54" i="2" s="1"/>
  <c r="E48" i="2"/>
  <c r="F48" i="2" s="1"/>
  <c r="E47" i="2"/>
  <c r="F47" i="2" s="1"/>
  <c r="E46" i="2"/>
  <c r="F46" i="2" s="1"/>
  <c r="S14" i="2" l="1"/>
  <c r="AA14" i="2" s="1"/>
  <c r="M14" i="2"/>
  <c r="T14" i="2"/>
  <c r="AB14" i="2" s="1"/>
  <c r="M16" i="2"/>
  <c r="T16" i="2"/>
  <c r="AB16" i="2" s="1"/>
  <c r="M15" i="2"/>
  <c r="T15" i="2"/>
  <c r="AB15" i="2" s="1"/>
  <c r="S78" i="4"/>
  <c r="S72" i="4"/>
  <c r="S66" i="4"/>
  <c r="S60" i="4"/>
  <c r="S54" i="4"/>
  <c r="S48" i="4"/>
  <c r="S42" i="4"/>
  <c r="S36" i="4"/>
  <c r="S29" i="4"/>
  <c r="R27" i="4"/>
  <c r="S22" i="4"/>
  <c r="N60" i="4"/>
  <c r="N54" i="4"/>
  <c r="N48" i="4"/>
  <c r="N42" i="4"/>
  <c r="N36" i="4"/>
  <c r="M27" i="4"/>
  <c r="M20" i="4"/>
  <c r="I42" i="4"/>
  <c r="I36" i="4"/>
  <c r="H27" i="4"/>
  <c r="I15" i="4"/>
  <c r="C96" i="1"/>
  <c r="C95" i="1" s="1"/>
  <c r="C94" i="1" s="1"/>
  <c r="C93" i="1" s="1"/>
  <c r="C92" i="1" s="1"/>
  <c r="C91" i="1" s="1"/>
  <c r="C90" i="1" s="1"/>
  <c r="C89" i="1" s="1"/>
  <c r="C88" i="1" s="1"/>
  <c r="C87" i="1" s="1"/>
  <c r="C86" i="1" s="1"/>
  <c r="C85" i="1" s="1"/>
  <c r="C84" i="1" s="1"/>
  <c r="C83" i="1" s="1"/>
  <c r="C82" i="1" s="1"/>
  <c r="C81" i="1" s="1"/>
  <c r="C80" i="1" s="1"/>
  <c r="C79" i="1" s="1"/>
  <c r="C78" i="1" s="1"/>
  <c r="C98" i="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S71" i="4"/>
  <c r="N13" i="4"/>
  <c r="I14" i="4" l="1"/>
  <c r="I17" i="4"/>
  <c r="N24" i="4"/>
  <c r="N17" i="4"/>
  <c r="S31" i="4"/>
  <c r="I31" i="4"/>
  <c r="S24" i="4"/>
  <c r="S17" i="4"/>
  <c r="I24" i="4"/>
  <c r="N31" i="4"/>
  <c r="N20" i="4"/>
  <c r="N12" i="4"/>
  <c r="S75" i="4"/>
  <c r="S63" i="4"/>
  <c r="S51" i="4"/>
  <c r="S39" i="4"/>
  <c r="S26" i="4"/>
  <c r="N45" i="4"/>
  <c r="N51" i="4"/>
  <c r="N19" i="4"/>
  <c r="I33" i="4"/>
  <c r="I26" i="4"/>
  <c r="I19" i="4"/>
  <c r="N33" i="4"/>
  <c r="S69" i="4"/>
  <c r="S74" i="4" s="1"/>
  <c r="S57" i="4"/>
  <c r="S45" i="4"/>
  <c r="S33" i="4"/>
  <c r="S19" i="4"/>
  <c r="N57" i="4"/>
  <c r="I39" i="4"/>
  <c r="N26" i="4"/>
  <c r="N39" i="4"/>
  <c r="I35" i="4"/>
  <c r="N21" i="4"/>
  <c r="N53" i="4"/>
  <c r="S28" i="4"/>
  <c r="S41" i="4"/>
  <c r="S53" i="4"/>
  <c r="S65" i="4"/>
  <c r="S77" i="4"/>
  <c r="S13" i="4"/>
  <c r="N30" i="4"/>
  <c r="S23" i="4"/>
  <c r="N23" i="4"/>
  <c r="S16" i="4"/>
  <c r="N16" i="4"/>
  <c r="S30" i="4"/>
  <c r="I30" i="4"/>
  <c r="I23" i="4"/>
  <c r="I21" i="4"/>
  <c r="N27" i="4"/>
  <c r="N41" i="4"/>
  <c r="S20" i="4"/>
  <c r="I27" i="4"/>
  <c r="I41" i="4"/>
  <c r="N47" i="4"/>
  <c r="N59" i="4"/>
  <c r="S21" i="4"/>
  <c r="S35" i="4"/>
  <c r="S47" i="4"/>
  <c r="S59" i="4"/>
  <c r="N14" i="4"/>
  <c r="S14" i="4"/>
  <c r="N28" i="4"/>
  <c r="I28" i="4"/>
  <c r="N35" i="4"/>
  <c r="S27" i="4"/>
  <c r="N22" i="4"/>
  <c r="N29" i="4"/>
  <c r="I29" i="4"/>
  <c r="N16" i="2"/>
  <c r="V16" i="2" s="1"/>
  <c r="AD16" i="2" s="1"/>
  <c r="U16" i="2"/>
  <c r="AC16" i="2" s="1"/>
  <c r="N15" i="2"/>
  <c r="V15" i="2" s="1"/>
  <c r="AD15" i="2" s="1"/>
  <c r="U15" i="2"/>
  <c r="AC15" i="2" s="1"/>
  <c r="N14" i="2"/>
  <c r="V14" i="2" s="1"/>
  <c r="AD14" i="2" s="1"/>
  <c r="U14" i="2"/>
  <c r="AC14" i="2" s="1"/>
  <c r="R122" i="1"/>
  <c r="J59" i="1" s="1"/>
  <c r="R103" i="1"/>
  <c r="J58" i="1" s="1"/>
  <c r="N38" i="4" l="1"/>
  <c r="S44" i="4"/>
  <c r="N62" i="4"/>
  <c r="S18" i="4"/>
  <c r="S56" i="4"/>
  <c r="S25" i="4"/>
  <c r="S68" i="4"/>
  <c r="N25" i="4"/>
  <c r="N18" i="4"/>
  <c r="S32" i="4"/>
  <c r="I32" i="4"/>
  <c r="I38" i="4"/>
  <c r="S50" i="4"/>
  <c r="N56" i="4"/>
  <c r="N32" i="4"/>
  <c r="I44" i="4"/>
  <c r="S80" i="4"/>
  <c r="N44" i="4"/>
  <c r="S62" i="4"/>
  <c r="N50" i="4"/>
  <c r="S38" i="4"/>
  <c r="J57" i="1"/>
  <c r="O57" i="1" s="1"/>
  <c r="S82" i="4" l="1"/>
  <c r="F35" i="15"/>
  <c r="E35" i="15"/>
  <c r="G39" i="17"/>
  <c r="H39" i="17" s="1"/>
  <c r="G37" i="17"/>
  <c r="H37" i="17" s="1"/>
  <c r="G35" i="17"/>
  <c r="H35" i="17" s="1"/>
  <c r="G33" i="17"/>
  <c r="G31" i="17"/>
  <c r="H31" i="17" s="1"/>
  <c r="G29" i="17"/>
  <c r="G25" i="17"/>
  <c r="G23" i="17"/>
  <c r="H25" i="17" l="1"/>
  <c r="H23" i="17"/>
  <c r="L65" i="1"/>
  <c r="L74" i="13" l="1"/>
  <c r="G35" i="15" s="1"/>
  <c r="J92" i="2"/>
  <c r="K92" i="2" s="1"/>
  <c r="I93" i="2"/>
  <c r="I95" i="2"/>
  <c r="J95" i="2" s="1"/>
  <c r="K95" i="2" s="1"/>
  <c r="L95" i="2" s="1"/>
  <c r="M95" i="2" s="1"/>
  <c r="I97" i="2"/>
  <c r="J97" i="2" s="1"/>
  <c r="K97" i="2" s="1"/>
  <c r="L97" i="2" s="1"/>
  <c r="M97" i="2" s="1"/>
  <c r="L70" i="13"/>
  <c r="I98" i="2" l="1"/>
  <c r="L92" i="2"/>
  <c r="J93" i="2"/>
  <c r="H78" i="13"/>
  <c r="G78" i="13"/>
  <c r="F78" i="13"/>
  <c r="E78" i="13"/>
  <c r="D78" i="13"/>
  <c r="E37" i="15"/>
  <c r="F37" i="15"/>
  <c r="G37" i="15"/>
  <c r="D37" i="15"/>
  <c r="H10" i="12"/>
  <c r="D77" i="13"/>
  <c r="E77" i="13"/>
  <c r="F77" i="13"/>
  <c r="G77" i="13"/>
  <c r="H77" i="13"/>
  <c r="D79" i="13"/>
  <c r="E79" i="13"/>
  <c r="F79" i="13"/>
  <c r="G79" i="13"/>
  <c r="H79" i="13"/>
  <c r="E76" i="13"/>
  <c r="F76" i="13"/>
  <c r="G76" i="13"/>
  <c r="H76" i="13"/>
  <c r="D76" i="13"/>
  <c r="G15" i="6"/>
  <c r="F15" i="6"/>
  <c r="E15" i="6"/>
  <c r="D15" i="6"/>
  <c r="C15" i="6"/>
  <c r="G22" i="6"/>
  <c r="F22" i="6"/>
  <c r="E22" i="6"/>
  <c r="D22" i="6"/>
  <c r="C22" i="6"/>
  <c r="H29" i="17"/>
  <c r="H33" i="17"/>
  <c r="E10" i="12"/>
  <c r="E16" i="16"/>
  <c r="D9" i="16"/>
  <c r="E13" i="16" s="1"/>
  <c r="D26" i="1"/>
  <c r="G25" i="1"/>
  <c r="K93" i="2" l="1"/>
  <c r="J98" i="2"/>
  <c r="M92" i="2"/>
  <c r="L67" i="1"/>
  <c r="N76" i="1" s="1"/>
  <c r="D33" i="1" s="1"/>
  <c r="D46" i="1" s="1"/>
  <c r="O58" i="1"/>
  <c r="P58" i="1" s="1"/>
  <c r="Q58" i="1" s="1"/>
  <c r="R58" i="1" s="1"/>
  <c r="S58" i="1" s="1"/>
  <c r="O59" i="1"/>
  <c r="P59" i="1" s="1"/>
  <c r="Q59" i="1" s="1"/>
  <c r="R59" i="1" s="1"/>
  <c r="S59" i="1" s="1"/>
  <c r="P57" i="1"/>
  <c r="Q57" i="1" s="1"/>
  <c r="R57" i="1" s="1"/>
  <c r="S57" i="1" s="1"/>
  <c r="E15" i="16"/>
  <c r="E14" i="16"/>
  <c r="E18" i="16"/>
  <c r="E17" i="16"/>
  <c r="D41" i="13"/>
  <c r="K25" i="1"/>
  <c r="I25" i="1"/>
  <c r="K17" i="16" l="1"/>
  <c r="K18" i="16" s="1"/>
  <c r="K22" i="16" s="1"/>
  <c r="L93" i="2"/>
  <c r="K98" i="2"/>
  <c r="D38" i="1"/>
  <c r="N14" i="17" s="1"/>
  <c r="N27" i="17" s="1"/>
  <c r="N53" i="17" s="1"/>
  <c r="O76" i="1"/>
  <c r="N14" i="15"/>
  <c r="M25" i="1"/>
  <c r="N22" i="15"/>
  <c r="O25" i="1"/>
  <c r="K20" i="1"/>
  <c r="I20" i="1"/>
  <c r="I14" i="17"/>
  <c r="H13" i="16" l="1"/>
  <c r="H16" i="16"/>
  <c r="I27" i="17"/>
  <c r="I53" i="17" s="1"/>
  <c r="I54" i="17" s="1"/>
  <c r="I33" i="17"/>
  <c r="I73" i="17" s="1"/>
  <c r="N64" i="17"/>
  <c r="N84" i="17" s="1"/>
  <c r="N54" i="17"/>
  <c r="N65" i="17" s="1"/>
  <c r="N85" i="17" s="1"/>
  <c r="I37" i="17"/>
  <c r="I99" i="17" s="1"/>
  <c r="I100" i="17" s="1"/>
  <c r="I29" i="17"/>
  <c r="I67" i="17" s="1"/>
  <c r="I35" i="17"/>
  <c r="I96" i="17" s="1"/>
  <c r="I97" i="17" s="1"/>
  <c r="I25" i="17"/>
  <c r="I50" i="17" s="1"/>
  <c r="I39" i="17"/>
  <c r="I102" i="17" s="1"/>
  <c r="I103" i="17" s="1"/>
  <c r="I23" i="17"/>
  <c r="I31" i="17"/>
  <c r="I70" i="17" s="1"/>
  <c r="E41" i="13"/>
  <c r="N31" i="17"/>
  <c r="N70" i="17" s="1"/>
  <c r="N39" i="17"/>
  <c r="N102" i="17" s="1"/>
  <c r="N103" i="17" s="1"/>
  <c r="N35" i="17"/>
  <c r="N96" i="17" s="1"/>
  <c r="N97" i="17" s="1"/>
  <c r="N37" i="17"/>
  <c r="N99" i="17" s="1"/>
  <c r="N100" i="17" s="1"/>
  <c r="M93" i="2"/>
  <c r="M98" i="2" s="1"/>
  <c r="L98" i="2"/>
  <c r="N23" i="17"/>
  <c r="N33" i="17"/>
  <c r="N73" i="17" s="1"/>
  <c r="N29" i="17"/>
  <c r="N67" i="17" s="1"/>
  <c r="N25" i="17"/>
  <c r="N50" i="17" s="1"/>
  <c r="P76" i="1"/>
  <c r="Q76" i="1" s="1"/>
  <c r="H38" i="1"/>
  <c r="H51" i="1" s="1"/>
  <c r="F38" i="1"/>
  <c r="F51" i="1" s="1"/>
  <c r="D51" i="1"/>
  <c r="O14" i="15"/>
  <c r="H33" i="1"/>
  <c r="O31" i="15" s="1"/>
  <c r="Q25" i="1"/>
  <c r="M20" i="1"/>
  <c r="O22" i="15"/>
  <c r="D24" i="16"/>
  <c r="D25" i="16" s="1"/>
  <c r="N31" i="15"/>
  <c r="F33" i="1"/>
  <c r="F46" i="1" s="1"/>
  <c r="D26" i="12"/>
  <c r="O20" i="1"/>
  <c r="S25" i="1"/>
  <c r="I64" i="17" l="1"/>
  <c r="I84" i="17" s="1"/>
  <c r="N68" i="17"/>
  <c r="N88" i="17" s="1"/>
  <c r="N87" i="17"/>
  <c r="N71" i="17"/>
  <c r="N91" i="17" s="1"/>
  <c r="N90" i="17"/>
  <c r="I74" i="17"/>
  <c r="I94" i="17" s="1"/>
  <c r="I93" i="17"/>
  <c r="N74" i="17"/>
  <c r="N94" i="17" s="1"/>
  <c r="N93" i="17"/>
  <c r="I68" i="17"/>
  <c r="I88" i="17" s="1"/>
  <c r="I87" i="17"/>
  <c r="I71" i="17"/>
  <c r="I91" i="17" s="1"/>
  <c r="I90" i="17"/>
  <c r="N51" i="17"/>
  <c r="N61" i="17"/>
  <c r="I65" i="17"/>
  <c r="I85" i="17" s="1"/>
  <c r="I51" i="17"/>
  <c r="I61" i="17"/>
  <c r="F41" i="13"/>
  <c r="E26" i="1"/>
  <c r="J38" i="1"/>
  <c r="J51" i="1" s="1"/>
  <c r="T14" i="17"/>
  <c r="T27" i="17" s="1"/>
  <c r="T53" i="17" s="1"/>
  <c r="Q14" i="15"/>
  <c r="P38" i="1"/>
  <c r="AF14" i="17" s="1"/>
  <c r="AF27" i="17" s="1"/>
  <c r="AF53" i="17" s="1"/>
  <c r="P14" i="15"/>
  <c r="L38" i="1"/>
  <c r="L51" i="1" s="1"/>
  <c r="R76" i="1"/>
  <c r="E24" i="16"/>
  <c r="O14" i="17"/>
  <c r="O27" i="17" s="1"/>
  <c r="O53" i="17" s="1"/>
  <c r="H46" i="1"/>
  <c r="E26" i="12" s="1"/>
  <c r="J33" i="1"/>
  <c r="J46" i="1" s="1"/>
  <c r="U25" i="1"/>
  <c r="D46" i="12"/>
  <c r="D26" i="16"/>
  <c r="C24" i="6" s="1"/>
  <c r="Q20" i="1"/>
  <c r="P22" i="15"/>
  <c r="C21" i="6"/>
  <c r="G23" i="1"/>
  <c r="W25" i="1"/>
  <c r="S20" i="1"/>
  <c r="G22" i="1"/>
  <c r="G21" i="1"/>
  <c r="D42" i="13" s="1"/>
  <c r="G24" i="1"/>
  <c r="C23" i="6" l="1"/>
  <c r="C25" i="6" s="1"/>
  <c r="E25" i="16"/>
  <c r="E26" i="16" s="1"/>
  <c r="D24" i="6" s="1"/>
  <c r="N62" i="17"/>
  <c r="N82" i="17" s="1"/>
  <c r="N81" i="17"/>
  <c r="I62" i="17"/>
  <c r="I82" i="17" s="1"/>
  <c r="I81" i="17"/>
  <c r="O64" i="17"/>
  <c r="O84" i="17" s="1"/>
  <c r="O54" i="17"/>
  <c r="T54" i="17"/>
  <c r="T65" i="17" s="1"/>
  <c r="T85" i="17" s="1"/>
  <c r="T64" i="17"/>
  <c r="T84" i="17" s="1"/>
  <c r="AF64" i="17"/>
  <c r="AF84" i="17" s="1"/>
  <c r="AF54" i="17"/>
  <c r="AF65" i="17" s="1"/>
  <c r="AF85" i="17" s="1"/>
  <c r="O29" i="17"/>
  <c r="O67" i="17" s="1"/>
  <c r="O39" i="17"/>
  <c r="O102" i="17" s="1"/>
  <c r="O103" i="17" s="1"/>
  <c r="O35" i="17"/>
  <c r="O96" i="17" s="1"/>
  <c r="O97" i="17" s="1"/>
  <c r="O33" i="17"/>
  <c r="O73" i="17" s="1"/>
  <c r="O25" i="17"/>
  <c r="O37" i="17"/>
  <c r="O99" i="17" s="1"/>
  <c r="O100" i="17" s="1"/>
  <c r="O31" i="17"/>
  <c r="O70" i="17" s="1"/>
  <c r="O23" i="17"/>
  <c r="T39" i="17"/>
  <c r="T102" i="17" s="1"/>
  <c r="T103" i="17" s="1"/>
  <c r="T37" i="17"/>
  <c r="T99" i="17" s="1"/>
  <c r="T100" i="17" s="1"/>
  <c r="T35" i="17"/>
  <c r="T96" i="17" s="1"/>
  <c r="T97" i="17" s="1"/>
  <c r="T33" i="17"/>
  <c r="T73" i="17" s="1"/>
  <c r="T25" i="17"/>
  <c r="T50" i="17" s="1"/>
  <c r="T31" i="17"/>
  <c r="T70" i="17" s="1"/>
  <c r="T29" i="17"/>
  <c r="T67" i="17" s="1"/>
  <c r="T23" i="17"/>
  <c r="AF39" i="17"/>
  <c r="AF102" i="17" s="1"/>
  <c r="AF103" i="17" s="1"/>
  <c r="AF37" i="17"/>
  <c r="AF99" i="17" s="1"/>
  <c r="AF100" i="17" s="1"/>
  <c r="AF35" i="17"/>
  <c r="AF96" i="17" s="1"/>
  <c r="AF97" i="17" s="1"/>
  <c r="AF33" i="17"/>
  <c r="AF73" i="17" s="1"/>
  <c r="AF25" i="17"/>
  <c r="AF50" i="17" s="1"/>
  <c r="AF31" i="17"/>
  <c r="AF70" i="17" s="1"/>
  <c r="AF29" i="17"/>
  <c r="AF67" i="17" s="1"/>
  <c r="AF23" i="17"/>
  <c r="G41" i="13"/>
  <c r="I23" i="1"/>
  <c r="K23" i="1"/>
  <c r="H36" i="1" s="1"/>
  <c r="R38" i="1"/>
  <c r="R51" i="1" s="1"/>
  <c r="D37" i="1"/>
  <c r="D50" i="1" s="1"/>
  <c r="D36" i="1"/>
  <c r="F36" i="1" s="1"/>
  <c r="N38" i="1"/>
  <c r="N51" i="1" s="1"/>
  <c r="Z14" i="17"/>
  <c r="Z27" i="17" s="1"/>
  <c r="Z53" i="17" s="1"/>
  <c r="R14" i="15"/>
  <c r="T38" i="1"/>
  <c r="AL14" i="17" s="1"/>
  <c r="AL27" i="17" s="1"/>
  <c r="AL53" i="17" s="1"/>
  <c r="E46" i="12"/>
  <c r="D21" i="6"/>
  <c r="N24" i="15"/>
  <c r="D43" i="13"/>
  <c r="Y25" i="1"/>
  <c r="N25" i="15"/>
  <c r="D44" i="13"/>
  <c r="I21" i="1"/>
  <c r="N23" i="15"/>
  <c r="G26" i="1"/>
  <c r="U20" i="1"/>
  <c r="Q22" i="15"/>
  <c r="P51" i="1"/>
  <c r="K24" i="1"/>
  <c r="I24" i="1"/>
  <c r="D34" i="1"/>
  <c r="K21" i="1"/>
  <c r="E42" i="13" s="1"/>
  <c r="D35" i="1"/>
  <c r="K22" i="1"/>
  <c r="E43" i="13" s="1"/>
  <c r="I22" i="1"/>
  <c r="W20" i="1"/>
  <c r="H20" i="1" l="1"/>
  <c r="N20" i="15"/>
  <c r="N21" i="15" s="1"/>
  <c r="O25" i="15"/>
  <c r="O23" i="1"/>
  <c r="L36" i="1" s="1"/>
  <c r="X14" i="17" s="1"/>
  <c r="X27" i="17" s="1"/>
  <c r="X53" i="17" s="1"/>
  <c r="M23" i="1"/>
  <c r="Z99" i="2"/>
  <c r="R75" i="2"/>
  <c r="Z75" i="2" s="1"/>
  <c r="J51" i="2"/>
  <c r="D23" i="6"/>
  <c r="D25" i="6" s="1"/>
  <c r="AF74" i="17"/>
  <c r="AF94" i="17" s="1"/>
  <c r="AF93" i="17"/>
  <c r="O74" i="17"/>
  <c r="O94" i="17" s="1"/>
  <c r="O93" i="17"/>
  <c r="AF68" i="17"/>
  <c r="AF88" i="17" s="1"/>
  <c r="AF87" i="17"/>
  <c r="T68" i="17"/>
  <c r="T88" i="17" s="1"/>
  <c r="T87" i="17"/>
  <c r="O71" i="17"/>
  <c r="O91" i="17" s="1"/>
  <c r="O90" i="17"/>
  <c r="O68" i="17"/>
  <c r="O88" i="17" s="1"/>
  <c r="O87" i="17"/>
  <c r="T74" i="17"/>
  <c r="T94" i="17" s="1"/>
  <c r="T93" i="17"/>
  <c r="AF71" i="17"/>
  <c r="AF91" i="17" s="1"/>
  <c r="AF90" i="17"/>
  <c r="T71" i="17"/>
  <c r="T91" i="17" s="1"/>
  <c r="T90" i="17"/>
  <c r="AF51" i="17"/>
  <c r="AF61" i="17"/>
  <c r="T51" i="17"/>
  <c r="T61" i="17"/>
  <c r="O50" i="17"/>
  <c r="O61" i="17" s="1"/>
  <c r="AL64" i="17"/>
  <c r="AL84" i="17" s="1"/>
  <c r="AL54" i="17"/>
  <c r="AL65" i="17" s="1"/>
  <c r="AL85" i="17" s="1"/>
  <c r="O65" i="17"/>
  <c r="O85" i="17" s="1"/>
  <c r="Z64" i="17"/>
  <c r="Z84" i="17" s="1"/>
  <c r="Z54" i="17"/>
  <c r="Z65" i="17" s="1"/>
  <c r="Z85" i="17" s="1"/>
  <c r="Z29" i="17"/>
  <c r="Z67" i="17" s="1"/>
  <c r="Z31" i="17"/>
  <c r="Z70" i="17" s="1"/>
  <c r="Z23" i="17"/>
  <c r="Z39" i="17"/>
  <c r="Z102" i="17" s="1"/>
  <c r="Z103" i="17" s="1"/>
  <c r="Z37" i="17"/>
  <c r="Z99" i="17" s="1"/>
  <c r="Z100" i="17" s="1"/>
  <c r="Z35" i="17"/>
  <c r="Z96" i="17" s="1"/>
  <c r="Z97" i="17" s="1"/>
  <c r="Z33" i="17"/>
  <c r="Z73" i="17" s="1"/>
  <c r="Z25" i="17"/>
  <c r="Z50" i="17" s="1"/>
  <c r="AL29" i="17"/>
  <c r="AL67" i="17" s="1"/>
  <c r="AL31" i="17"/>
  <c r="AL70" i="17" s="1"/>
  <c r="AL23" i="17"/>
  <c r="AL39" i="17"/>
  <c r="AL102" i="17" s="1"/>
  <c r="AL103" i="17" s="1"/>
  <c r="AL37" i="17"/>
  <c r="AL99" i="17" s="1"/>
  <c r="AL100" i="17" s="1"/>
  <c r="AL35" i="17"/>
  <c r="AL96" i="17" s="1"/>
  <c r="AL97" i="17" s="1"/>
  <c r="AL33" i="17"/>
  <c r="AL73" i="17" s="1"/>
  <c r="AL25" i="17"/>
  <c r="AL50" i="17" s="1"/>
  <c r="H41" i="13"/>
  <c r="K14" i="17"/>
  <c r="D30" i="16"/>
  <c r="E44" i="13"/>
  <c r="R14" i="17"/>
  <c r="R27" i="17" s="1"/>
  <c r="R53" i="17" s="1"/>
  <c r="H49" i="1"/>
  <c r="E49" i="12" s="1"/>
  <c r="J36" i="1"/>
  <c r="O34" i="15"/>
  <c r="D49" i="1"/>
  <c r="D29" i="12" s="1"/>
  <c r="N34" i="15"/>
  <c r="L14" i="17"/>
  <c r="L27" i="17" s="1"/>
  <c r="L53" i="17" s="1"/>
  <c r="H37" i="1"/>
  <c r="H50" i="1" s="1"/>
  <c r="F37" i="1"/>
  <c r="F50" i="1" s="1"/>
  <c r="M14" i="17"/>
  <c r="M27" i="17" s="1"/>
  <c r="M53" i="17" s="1"/>
  <c r="V38" i="1"/>
  <c r="V51" i="1" s="1"/>
  <c r="J14" i="17"/>
  <c r="N32" i="15"/>
  <c r="F34" i="1"/>
  <c r="F47" i="1" s="1"/>
  <c r="D39" i="1"/>
  <c r="B47" i="4" s="1"/>
  <c r="C26" i="4" s="1"/>
  <c r="F35" i="1"/>
  <c r="H25" i="1"/>
  <c r="M22" i="1"/>
  <c r="O24" i="15"/>
  <c r="I26" i="1"/>
  <c r="M21" i="1"/>
  <c r="O23" i="15"/>
  <c r="K26" i="1"/>
  <c r="O20" i="15" s="1"/>
  <c r="Y20" i="1"/>
  <c r="R22" i="15"/>
  <c r="D48" i="1"/>
  <c r="D28" i="12" s="1"/>
  <c r="N33" i="15"/>
  <c r="D47" i="1"/>
  <c r="D27" i="12" s="1"/>
  <c r="M24" i="1"/>
  <c r="T51" i="1"/>
  <c r="F49" i="1"/>
  <c r="O22" i="1"/>
  <c r="F43" i="13" s="1"/>
  <c r="O21" i="1"/>
  <c r="F42" i="13" s="1"/>
  <c r="O24" i="1"/>
  <c r="L33" i="1"/>
  <c r="U14" i="17" s="1"/>
  <c r="U27" i="17" s="1"/>
  <c r="U53" i="17" s="1"/>
  <c r="H35" i="1"/>
  <c r="E30" i="16" s="1"/>
  <c r="H34" i="1"/>
  <c r="O21" i="15" l="1"/>
  <c r="C28" i="4"/>
  <c r="D26" i="2"/>
  <c r="C60" i="2" s="1"/>
  <c r="D60" i="2" s="1"/>
  <c r="S23" i="1"/>
  <c r="W23" i="1" s="1"/>
  <c r="J27" i="17"/>
  <c r="J53" i="17" s="1"/>
  <c r="J64" i="17" s="1"/>
  <c r="J84" i="17" s="1"/>
  <c r="J23" i="17"/>
  <c r="K27" i="17"/>
  <c r="K53" i="17" s="1"/>
  <c r="K64" i="17" s="1"/>
  <c r="K84" i="17" s="1"/>
  <c r="K35" i="17"/>
  <c r="K96" i="17" s="1"/>
  <c r="K97" i="17" s="1"/>
  <c r="Q23" i="1"/>
  <c r="J49" i="1"/>
  <c r="P25" i="15"/>
  <c r="F44" i="13"/>
  <c r="AA99" i="2"/>
  <c r="S75" i="2"/>
  <c r="AA75" i="2" s="1"/>
  <c r="K51" i="2"/>
  <c r="E31" i="16"/>
  <c r="E32" i="16" s="1"/>
  <c r="D17" i="6" s="1"/>
  <c r="D31" i="16"/>
  <c r="D32" i="16" s="1"/>
  <c r="C17" i="6" s="1"/>
  <c r="AL74" i="17"/>
  <c r="AL94" i="17" s="1"/>
  <c r="AL93" i="17"/>
  <c r="O62" i="17"/>
  <c r="O82" i="17" s="1"/>
  <c r="O81" i="17"/>
  <c r="AL71" i="17"/>
  <c r="AL91" i="17" s="1"/>
  <c r="AL90" i="17"/>
  <c r="Z71" i="17"/>
  <c r="Z91" i="17" s="1"/>
  <c r="Z90" i="17"/>
  <c r="T62" i="17"/>
  <c r="T82" i="17" s="1"/>
  <c r="T81" i="17"/>
  <c r="AF62" i="17"/>
  <c r="AF82" i="17" s="1"/>
  <c r="AF81" i="17"/>
  <c r="Z74" i="17"/>
  <c r="Z94" i="17" s="1"/>
  <c r="Z93" i="17"/>
  <c r="AL68" i="17"/>
  <c r="AL88" i="17" s="1"/>
  <c r="AL87" i="17"/>
  <c r="Z68" i="17"/>
  <c r="Z88" i="17" s="1"/>
  <c r="Z87" i="17"/>
  <c r="O51" i="17"/>
  <c r="U54" i="17"/>
  <c r="U64" i="17"/>
  <c r="U84" i="17" s="1"/>
  <c r="X64" i="17"/>
  <c r="X84" i="17" s="1"/>
  <c r="X54" i="17"/>
  <c r="X65" i="17" s="1"/>
  <c r="X85" i="17" s="1"/>
  <c r="R64" i="17"/>
  <c r="R84" i="17" s="1"/>
  <c r="R54" i="17"/>
  <c r="R65" i="17" s="1"/>
  <c r="R85" i="17" s="1"/>
  <c r="AL51" i="17"/>
  <c r="AL61" i="17"/>
  <c r="Z51" i="17"/>
  <c r="Z61" i="17"/>
  <c r="M54" i="17"/>
  <c r="M65" i="17" s="1"/>
  <c r="M85" i="17" s="1"/>
  <c r="M64" i="17"/>
  <c r="M84" i="17" s="1"/>
  <c r="L54" i="17"/>
  <c r="L65" i="17" s="1"/>
  <c r="L85" i="17" s="1"/>
  <c r="L64" i="17"/>
  <c r="L84" i="17" s="1"/>
  <c r="L35" i="17"/>
  <c r="L96" i="17" s="1"/>
  <c r="L97" i="17" s="1"/>
  <c r="L37" i="17"/>
  <c r="L99" i="17" s="1"/>
  <c r="L100" i="17" s="1"/>
  <c r="L33" i="17"/>
  <c r="L73" i="17" s="1"/>
  <c r="L29" i="17"/>
  <c r="L67" i="17" s="1"/>
  <c r="L39" i="17"/>
  <c r="L102" i="17" s="1"/>
  <c r="L103" i="17" s="1"/>
  <c r="L31" i="17"/>
  <c r="L70" i="17" s="1"/>
  <c r="L23" i="17"/>
  <c r="L25" i="17"/>
  <c r="U31" i="17"/>
  <c r="U70" i="17" s="1"/>
  <c r="U23" i="17"/>
  <c r="U39" i="17"/>
  <c r="U102" i="17" s="1"/>
  <c r="U103" i="17" s="1"/>
  <c r="U37" i="17"/>
  <c r="U99" i="17" s="1"/>
  <c r="U100" i="17" s="1"/>
  <c r="U35" i="17"/>
  <c r="U96" i="17" s="1"/>
  <c r="U97" i="17" s="1"/>
  <c r="U33" i="17"/>
  <c r="U73" i="17" s="1"/>
  <c r="U25" i="17"/>
  <c r="U29" i="17"/>
  <c r="U67" i="17" s="1"/>
  <c r="J39" i="17"/>
  <c r="J102" i="17" s="1"/>
  <c r="J103" i="17" s="1"/>
  <c r="J31" i="17"/>
  <c r="J70" i="17" s="1"/>
  <c r="J25" i="17"/>
  <c r="J35" i="17"/>
  <c r="J96" i="17" s="1"/>
  <c r="J97" i="17" s="1"/>
  <c r="J33" i="17"/>
  <c r="J73" i="17" s="1"/>
  <c r="J29" i="17"/>
  <c r="J67" i="17" s="1"/>
  <c r="J37" i="17"/>
  <c r="J99" i="17" s="1"/>
  <c r="J100" i="17" s="1"/>
  <c r="R29" i="17"/>
  <c r="R67" i="17" s="1"/>
  <c r="R31" i="17"/>
  <c r="R70" i="17" s="1"/>
  <c r="R23" i="17"/>
  <c r="R39" i="17"/>
  <c r="R102" i="17" s="1"/>
  <c r="R103" i="17" s="1"/>
  <c r="R37" i="17"/>
  <c r="R99" i="17" s="1"/>
  <c r="R100" i="17" s="1"/>
  <c r="R35" i="17"/>
  <c r="R96" i="17" s="1"/>
  <c r="R97" i="17" s="1"/>
  <c r="R33" i="17"/>
  <c r="R73" i="17" s="1"/>
  <c r="R25" i="17"/>
  <c r="K37" i="17"/>
  <c r="K99" i="17" s="1"/>
  <c r="K100" i="17" s="1"/>
  <c r="K29" i="17"/>
  <c r="K67" i="17" s="1"/>
  <c r="K39" i="17"/>
  <c r="K102" i="17" s="1"/>
  <c r="K103" i="17" s="1"/>
  <c r="K31" i="17"/>
  <c r="K70" i="17" s="1"/>
  <c r="K23" i="17"/>
  <c r="K25" i="17"/>
  <c r="K33" i="17"/>
  <c r="K73" i="17" s="1"/>
  <c r="X39" i="17"/>
  <c r="X102" i="17" s="1"/>
  <c r="X103" i="17" s="1"/>
  <c r="X37" i="17"/>
  <c r="X99" i="17" s="1"/>
  <c r="X100" i="17" s="1"/>
  <c r="X35" i="17"/>
  <c r="X96" i="17" s="1"/>
  <c r="X97" i="17" s="1"/>
  <c r="X33" i="17"/>
  <c r="X73" i="17" s="1"/>
  <c r="X25" i="17"/>
  <c r="X31" i="17"/>
  <c r="X70" i="17" s="1"/>
  <c r="X29" i="17"/>
  <c r="X67" i="17" s="1"/>
  <c r="X23" i="17"/>
  <c r="N30" i="15"/>
  <c r="E29" i="12"/>
  <c r="F48" i="1"/>
  <c r="C14" i="6"/>
  <c r="M31" i="17"/>
  <c r="M70" i="17" s="1"/>
  <c r="M35" i="17"/>
  <c r="M96" i="17" s="1"/>
  <c r="M97" i="17" s="1"/>
  <c r="M37" i="17"/>
  <c r="M99" i="17" s="1"/>
  <c r="M100" i="17" s="1"/>
  <c r="M39" i="17"/>
  <c r="M102" i="17" s="1"/>
  <c r="M103" i="17" s="1"/>
  <c r="L34" i="1"/>
  <c r="V14" i="17" s="1"/>
  <c r="V27" i="17" s="1"/>
  <c r="V53" i="17" s="1"/>
  <c r="N40" i="15"/>
  <c r="J20" i="1"/>
  <c r="D49" i="12"/>
  <c r="J37" i="1"/>
  <c r="J50" i="1" s="1"/>
  <c r="S14" i="17"/>
  <c r="S27" i="17" s="1"/>
  <c r="S53" i="17" s="1"/>
  <c r="L37" i="1"/>
  <c r="L50" i="1" s="1"/>
  <c r="M25" i="17"/>
  <c r="M50" i="17" s="1"/>
  <c r="M29" i="17"/>
  <c r="M67" i="17" s="1"/>
  <c r="M23" i="17"/>
  <c r="M33" i="17"/>
  <c r="M73" i="17" s="1"/>
  <c r="D32" i="12"/>
  <c r="D60" i="12" s="1"/>
  <c r="E33" i="1"/>
  <c r="E34" i="1"/>
  <c r="E38" i="1"/>
  <c r="E35" i="1"/>
  <c r="E37" i="1"/>
  <c r="E36" i="1"/>
  <c r="F39" i="1"/>
  <c r="O32" i="15"/>
  <c r="P14" i="17"/>
  <c r="P27" i="17" s="1"/>
  <c r="P53" i="17" s="1"/>
  <c r="O33" i="15"/>
  <c r="Q14" i="17"/>
  <c r="Q27" i="17" s="1"/>
  <c r="Q53" i="17" s="1"/>
  <c r="D47" i="12"/>
  <c r="D48" i="12"/>
  <c r="M26" i="1"/>
  <c r="O40" i="15" s="1"/>
  <c r="Q22" i="1"/>
  <c r="P24" i="15"/>
  <c r="Q21" i="1"/>
  <c r="P23" i="15"/>
  <c r="O26" i="1"/>
  <c r="P20" i="15" s="1"/>
  <c r="F24" i="16"/>
  <c r="P31" i="15"/>
  <c r="P34" i="15"/>
  <c r="H47" i="1"/>
  <c r="E27" i="12" s="1"/>
  <c r="J34" i="1"/>
  <c r="J47" i="1" s="1"/>
  <c r="H48" i="1"/>
  <c r="E28" i="12" s="1"/>
  <c r="J35" i="1"/>
  <c r="L46" i="1"/>
  <c r="F26" i="12" s="1"/>
  <c r="N33" i="1"/>
  <c r="L49" i="1"/>
  <c r="N36" i="1"/>
  <c r="Q24" i="1"/>
  <c r="S24" i="1"/>
  <c r="S21" i="1"/>
  <c r="G42" i="13" s="1"/>
  <c r="S22" i="1"/>
  <c r="G43" i="13" s="1"/>
  <c r="H39" i="1"/>
  <c r="O30" i="15" s="1"/>
  <c r="P33" i="1"/>
  <c r="AA14" i="17" s="1"/>
  <c r="AA27" i="17" s="1"/>
  <c r="AA53" i="17" s="1"/>
  <c r="L35" i="1"/>
  <c r="F57" i="2" l="1"/>
  <c r="D24" i="2"/>
  <c r="D25" i="2" s="1"/>
  <c r="Q25" i="15"/>
  <c r="U23" i="1"/>
  <c r="P36" i="1"/>
  <c r="AD14" i="17" s="1"/>
  <c r="AD27" i="17" s="1"/>
  <c r="AD53" i="17" s="1"/>
  <c r="AD54" i="17" s="1"/>
  <c r="AD65" i="17" s="1"/>
  <c r="AD85" i="17" s="1"/>
  <c r="G44" i="13"/>
  <c r="K54" i="17"/>
  <c r="K65" i="17" s="1"/>
  <c r="K85" i="17" s="1"/>
  <c r="J54" i="17"/>
  <c r="J65" i="17" s="1"/>
  <c r="J85" i="17" s="1"/>
  <c r="P21" i="15"/>
  <c r="C16" i="6"/>
  <c r="C18" i="6" s="1"/>
  <c r="I98" i="17"/>
  <c r="Z78" i="2" s="1"/>
  <c r="I104" i="17"/>
  <c r="Z94" i="2" s="1"/>
  <c r="I101" i="17"/>
  <c r="Z86" i="2" s="1"/>
  <c r="X71" i="17"/>
  <c r="X91" i="17" s="1"/>
  <c r="X90" i="17"/>
  <c r="J74" i="17"/>
  <c r="J94" i="17" s="1"/>
  <c r="J93" i="17"/>
  <c r="U74" i="17"/>
  <c r="U94" i="17" s="1"/>
  <c r="U93" i="17"/>
  <c r="L71" i="17"/>
  <c r="L91" i="17" s="1"/>
  <c r="L90" i="17"/>
  <c r="R68" i="17"/>
  <c r="R88" i="17" s="1"/>
  <c r="R87" i="17"/>
  <c r="AL62" i="17"/>
  <c r="AL82" i="17" s="1"/>
  <c r="AL81" i="17"/>
  <c r="M74" i="17"/>
  <c r="M94" i="17" s="1"/>
  <c r="M93" i="17"/>
  <c r="M71" i="17"/>
  <c r="M91" i="17" s="1"/>
  <c r="M90" i="17"/>
  <c r="X74" i="17"/>
  <c r="X94" i="17" s="1"/>
  <c r="X93" i="17"/>
  <c r="K71" i="17"/>
  <c r="K91" i="17" s="1"/>
  <c r="K90" i="17"/>
  <c r="U68" i="17"/>
  <c r="U88" i="17" s="1"/>
  <c r="U87" i="17"/>
  <c r="L68" i="17"/>
  <c r="L88" i="17" s="1"/>
  <c r="L87" i="17"/>
  <c r="M68" i="17"/>
  <c r="M88" i="17" s="1"/>
  <c r="M87" i="17"/>
  <c r="K68" i="17"/>
  <c r="K88" i="17" s="1"/>
  <c r="K87" i="17"/>
  <c r="R71" i="17"/>
  <c r="R91" i="17" s="1"/>
  <c r="R90" i="17"/>
  <c r="J71" i="17"/>
  <c r="J91" i="17" s="1"/>
  <c r="J90" i="17"/>
  <c r="U71" i="17"/>
  <c r="U91" i="17" s="1"/>
  <c r="U90" i="17"/>
  <c r="X68" i="17"/>
  <c r="X88" i="17" s="1"/>
  <c r="X87" i="17"/>
  <c r="K74" i="17"/>
  <c r="K94" i="17" s="1"/>
  <c r="K93" i="17"/>
  <c r="R74" i="17"/>
  <c r="R94" i="17" s="1"/>
  <c r="R93" i="17"/>
  <c r="J68" i="17"/>
  <c r="J88" i="17" s="1"/>
  <c r="J87" i="17"/>
  <c r="L74" i="17"/>
  <c r="L94" i="17" s="1"/>
  <c r="L93" i="17"/>
  <c r="Z62" i="17"/>
  <c r="Z82" i="17" s="1"/>
  <c r="Z81" i="17"/>
  <c r="Q54" i="17"/>
  <c r="Q65" i="17" s="1"/>
  <c r="Q85" i="17" s="1"/>
  <c r="Q64" i="17"/>
  <c r="Q84" i="17" s="1"/>
  <c r="AA54" i="17"/>
  <c r="AA64" i="17"/>
  <c r="AA84" i="17" s="1"/>
  <c r="S54" i="17"/>
  <c r="S65" i="17" s="1"/>
  <c r="S85" i="17" s="1"/>
  <c r="S64" i="17"/>
  <c r="S84" i="17" s="1"/>
  <c r="V64" i="17"/>
  <c r="V84" i="17" s="1"/>
  <c r="V54" i="17"/>
  <c r="V65" i="17" s="1"/>
  <c r="V85" i="17" s="1"/>
  <c r="R50" i="17"/>
  <c r="R61" i="17" s="1"/>
  <c r="J50" i="17"/>
  <c r="J61" i="17" s="1"/>
  <c r="L50" i="17"/>
  <c r="L61" i="17" s="1"/>
  <c r="X50" i="17"/>
  <c r="X61" i="17" s="1"/>
  <c r="P54" i="17"/>
  <c r="P64" i="17"/>
  <c r="P84" i="17" s="1"/>
  <c r="M51" i="17"/>
  <c r="M61" i="17"/>
  <c r="U50" i="17"/>
  <c r="U61" i="17" s="1"/>
  <c r="K50" i="17"/>
  <c r="K61" i="17" s="1"/>
  <c r="U65" i="17"/>
  <c r="U85" i="17" s="1"/>
  <c r="AA39" i="17"/>
  <c r="AA102" i="17" s="1"/>
  <c r="AA103" i="17" s="1"/>
  <c r="AA37" i="17"/>
  <c r="AA99" i="17" s="1"/>
  <c r="AA100" i="17" s="1"/>
  <c r="AA35" i="17"/>
  <c r="AA96" i="17" s="1"/>
  <c r="AA97" i="17" s="1"/>
  <c r="AA29" i="17"/>
  <c r="AA67" i="17" s="1"/>
  <c r="AA33" i="17"/>
  <c r="AA73" i="17" s="1"/>
  <c r="AA31" i="17"/>
  <c r="AA70" i="17" s="1"/>
  <c r="AA23" i="17"/>
  <c r="AA25" i="17"/>
  <c r="P39" i="17"/>
  <c r="P102" i="17" s="1"/>
  <c r="P103" i="17" s="1"/>
  <c r="P37" i="17"/>
  <c r="P99" i="17" s="1"/>
  <c r="P100" i="17" s="1"/>
  <c r="P35" i="17"/>
  <c r="P96" i="17" s="1"/>
  <c r="P97" i="17" s="1"/>
  <c r="P33" i="17"/>
  <c r="P73" i="17" s="1"/>
  <c r="P25" i="17"/>
  <c r="P29" i="17"/>
  <c r="P67" i="17" s="1"/>
  <c r="P31" i="17"/>
  <c r="P70" i="17" s="1"/>
  <c r="P23" i="17"/>
  <c r="V29" i="17"/>
  <c r="V67" i="17" s="1"/>
  <c r="V31" i="17"/>
  <c r="V70" i="17" s="1"/>
  <c r="V23" i="17"/>
  <c r="V39" i="17"/>
  <c r="V102" i="17" s="1"/>
  <c r="V103" i="17" s="1"/>
  <c r="V37" i="17"/>
  <c r="V99" i="17" s="1"/>
  <c r="V100" i="17" s="1"/>
  <c r="V35" i="17"/>
  <c r="V96" i="17" s="1"/>
  <c r="V97" i="17" s="1"/>
  <c r="V33" i="17"/>
  <c r="V73" i="17" s="1"/>
  <c r="V25" i="17"/>
  <c r="Q31" i="17"/>
  <c r="Q70" i="17" s="1"/>
  <c r="Q23" i="17"/>
  <c r="Q29" i="17"/>
  <c r="Q67" i="17" s="1"/>
  <c r="Q39" i="17"/>
  <c r="Q102" i="17" s="1"/>
  <c r="Q103" i="17" s="1"/>
  <c r="Q37" i="17"/>
  <c r="Q99" i="17" s="1"/>
  <c r="Q100" i="17" s="1"/>
  <c r="Q35" i="17"/>
  <c r="Q96" i="17" s="1"/>
  <c r="Q97" i="17" s="1"/>
  <c r="Q33" i="17"/>
  <c r="Q73" i="17" s="1"/>
  <c r="Q25" i="17"/>
  <c r="S37" i="17"/>
  <c r="S99" i="17" s="1"/>
  <c r="S100" i="17" s="1"/>
  <c r="S29" i="17"/>
  <c r="S67" i="17" s="1"/>
  <c r="S39" i="17"/>
  <c r="S102" i="17" s="1"/>
  <c r="S103" i="17" s="1"/>
  <c r="S35" i="17"/>
  <c r="S96" i="17" s="1"/>
  <c r="S97" i="17" s="1"/>
  <c r="S33" i="17"/>
  <c r="S73" i="17" s="1"/>
  <c r="S31" i="17"/>
  <c r="S70" i="17" s="1"/>
  <c r="S23" i="17"/>
  <c r="S25" i="17"/>
  <c r="S50" i="17" s="1"/>
  <c r="G34" i="1"/>
  <c r="E26" i="2"/>
  <c r="C61" i="2"/>
  <c r="D61" i="2" s="1"/>
  <c r="C65" i="2"/>
  <c r="D65" i="2" s="1"/>
  <c r="C62" i="2"/>
  <c r="D62" i="2" s="1"/>
  <c r="R69" i="2" s="1"/>
  <c r="C66" i="2"/>
  <c r="D66" i="2" s="1"/>
  <c r="E66" i="2" s="1"/>
  <c r="C63" i="2"/>
  <c r="D63" i="2" s="1"/>
  <c r="C67" i="2"/>
  <c r="D67" i="2" s="1"/>
  <c r="C64" i="2"/>
  <c r="D64" i="2" s="1"/>
  <c r="C68" i="2"/>
  <c r="D68" i="2" s="1"/>
  <c r="J48" i="1"/>
  <c r="D14" i="6"/>
  <c r="W14" i="17"/>
  <c r="W27" i="17" s="1"/>
  <c r="W53" i="17" s="1"/>
  <c r="F30" i="16"/>
  <c r="P34" i="1"/>
  <c r="AB14" i="17" s="1"/>
  <c r="AB27" i="17" s="1"/>
  <c r="AB53" i="17" s="1"/>
  <c r="H44" i="13"/>
  <c r="L47" i="1"/>
  <c r="F27" i="12" s="1"/>
  <c r="P32" i="15"/>
  <c r="N34" i="1"/>
  <c r="N47" i="1" s="1"/>
  <c r="N37" i="1"/>
  <c r="N50" i="1" s="1"/>
  <c r="Y14" i="17"/>
  <c r="Y27" i="17" s="1"/>
  <c r="Y53" i="17" s="1"/>
  <c r="P37" i="1"/>
  <c r="P50" i="1" s="1"/>
  <c r="D52" i="12"/>
  <c r="D58" i="12" s="1"/>
  <c r="E32" i="12"/>
  <c r="E60" i="12" s="1"/>
  <c r="G38" i="1"/>
  <c r="N69" i="15"/>
  <c r="D77" i="12" s="1"/>
  <c r="D84" i="12" s="1"/>
  <c r="N68" i="15"/>
  <c r="D76" i="12" s="1"/>
  <c r="D83" i="12" s="1"/>
  <c r="N67" i="15"/>
  <c r="D75" i="12" s="1"/>
  <c r="D82" i="12" s="1"/>
  <c r="G37" i="1"/>
  <c r="N44" i="15"/>
  <c r="G33" i="1"/>
  <c r="G35" i="1"/>
  <c r="G36" i="1"/>
  <c r="I34" i="1"/>
  <c r="I35" i="1"/>
  <c r="F29" i="12"/>
  <c r="F46" i="12"/>
  <c r="E48" i="12"/>
  <c r="E47" i="12"/>
  <c r="F25" i="16"/>
  <c r="F26" i="16" s="1"/>
  <c r="E24" i="6" s="1"/>
  <c r="Q26" i="1"/>
  <c r="P40" i="15" s="1"/>
  <c r="Y23" i="1"/>
  <c r="R25" i="15"/>
  <c r="U22" i="1"/>
  <c r="Q24" i="15"/>
  <c r="U21" i="1"/>
  <c r="Q23" i="15"/>
  <c r="S26" i="1"/>
  <c r="Q20" i="15" s="1"/>
  <c r="N35" i="1"/>
  <c r="P33" i="15"/>
  <c r="G24" i="16"/>
  <c r="Q31" i="15"/>
  <c r="N46" i="1"/>
  <c r="E21" i="6"/>
  <c r="N49" i="1"/>
  <c r="F49" i="12"/>
  <c r="P46" i="1"/>
  <c r="G26" i="12" s="1"/>
  <c r="R33" i="1"/>
  <c r="U24" i="1"/>
  <c r="L39" i="1"/>
  <c r="P30" i="15" s="1"/>
  <c r="L48" i="1"/>
  <c r="F28" i="12" s="1"/>
  <c r="D52" i="1"/>
  <c r="W22" i="1"/>
  <c r="H43" i="13" s="1"/>
  <c r="W21" i="1"/>
  <c r="H42" i="13" s="1"/>
  <c r="W24" i="1"/>
  <c r="J39" i="1"/>
  <c r="I38" i="1"/>
  <c r="I33" i="1"/>
  <c r="I37" i="1"/>
  <c r="I36" i="1"/>
  <c r="T33" i="1"/>
  <c r="AG14" i="17" s="1"/>
  <c r="AG27" i="17" s="1"/>
  <c r="AG53" i="17" s="1"/>
  <c r="T36" i="1"/>
  <c r="AJ14" i="17" s="1"/>
  <c r="AJ27" i="17" s="1"/>
  <c r="AJ53" i="17" s="1"/>
  <c r="P35" i="1"/>
  <c r="D72" i="2" l="1"/>
  <c r="D71" i="2"/>
  <c r="D70" i="2"/>
  <c r="R36" i="1"/>
  <c r="R49" i="1" s="1"/>
  <c r="Q21" i="15"/>
  <c r="AD64" i="17"/>
  <c r="AD84" i="17" s="1"/>
  <c r="Q34" i="15"/>
  <c r="P49" i="1"/>
  <c r="G49" i="12" s="1"/>
  <c r="AD37" i="17"/>
  <c r="AD99" i="17" s="1"/>
  <c r="AD100" i="17" s="1"/>
  <c r="AD39" i="17"/>
  <c r="AD102" i="17" s="1"/>
  <c r="AD103" i="17" s="1"/>
  <c r="AD31" i="17"/>
  <c r="AD70" i="17" s="1"/>
  <c r="AD90" i="17" s="1"/>
  <c r="AD29" i="17"/>
  <c r="AD67" i="17" s="1"/>
  <c r="AD87" i="17" s="1"/>
  <c r="AD23" i="17"/>
  <c r="AD25" i="17"/>
  <c r="AD50" i="17" s="1"/>
  <c r="AD61" i="17" s="1"/>
  <c r="AD33" i="17"/>
  <c r="AD73" i="17" s="1"/>
  <c r="AD93" i="17" s="1"/>
  <c r="AD35" i="17"/>
  <c r="AD96" i="17" s="1"/>
  <c r="AD97" i="17" s="1"/>
  <c r="I55" i="17"/>
  <c r="J38" i="2" s="1"/>
  <c r="I92" i="17"/>
  <c r="Z98" i="2"/>
  <c r="J50" i="2"/>
  <c r="R74" i="2"/>
  <c r="I95" i="17"/>
  <c r="D16" i="6"/>
  <c r="D18" i="6" s="1"/>
  <c r="I69" i="17"/>
  <c r="E64" i="2"/>
  <c r="Z92" i="2" s="1"/>
  <c r="AA92" i="2" s="1"/>
  <c r="AB92" i="2" s="1"/>
  <c r="AC92" i="2" s="1"/>
  <c r="AD92" i="2" s="1"/>
  <c r="Z93" i="2"/>
  <c r="AA93" i="2" s="1"/>
  <c r="AB93" i="2" s="1"/>
  <c r="AC93" i="2" s="1"/>
  <c r="AD93" i="2" s="1"/>
  <c r="Z69" i="2"/>
  <c r="S69" i="2"/>
  <c r="O98" i="17"/>
  <c r="AA78" i="2" s="1"/>
  <c r="E23" i="6"/>
  <c r="E25" i="6" s="1"/>
  <c r="E67" i="2"/>
  <c r="Z84" i="2" s="1"/>
  <c r="AA84" i="2" s="1"/>
  <c r="AB84" i="2" s="1"/>
  <c r="AC84" i="2" s="1"/>
  <c r="AD84" i="2" s="1"/>
  <c r="Z85" i="2"/>
  <c r="AA85" i="2" s="1"/>
  <c r="AB85" i="2" s="1"/>
  <c r="AC85" i="2" s="1"/>
  <c r="AD85" i="2" s="1"/>
  <c r="E63" i="2"/>
  <c r="Z76" i="2" s="1"/>
  <c r="AA76" i="2" s="1"/>
  <c r="AB76" i="2" s="1"/>
  <c r="AC76" i="2" s="1"/>
  <c r="AD76" i="2" s="1"/>
  <c r="Z77" i="2"/>
  <c r="AA77" i="2" s="1"/>
  <c r="AB77" i="2" s="1"/>
  <c r="AC77" i="2" s="1"/>
  <c r="AD77" i="2" s="1"/>
  <c r="O101" i="17"/>
  <c r="AA86" i="2" s="1"/>
  <c r="O104" i="17"/>
  <c r="AA94" i="2" s="1"/>
  <c r="E60" i="2"/>
  <c r="R60" i="2" s="1"/>
  <c r="R61" i="2"/>
  <c r="E68" i="2"/>
  <c r="R52" i="2" s="1"/>
  <c r="R53" i="2"/>
  <c r="F31" i="16"/>
  <c r="F32" i="16" s="1"/>
  <c r="E17" i="6" s="1"/>
  <c r="Q68" i="17"/>
  <c r="Q88" i="17" s="1"/>
  <c r="Q87" i="17"/>
  <c r="V74" i="17"/>
  <c r="V94" i="17" s="1"/>
  <c r="V93" i="17"/>
  <c r="P71" i="17"/>
  <c r="P91" i="17" s="1"/>
  <c r="P90" i="17"/>
  <c r="S68" i="17"/>
  <c r="S88" i="17" s="1"/>
  <c r="S87" i="17"/>
  <c r="P68" i="17"/>
  <c r="P88" i="17" s="1"/>
  <c r="P87" i="17"/>
  <c r="U62" i="17"/>
  <c r="U82" i="17" s="1"/>
  <c r="U81" i="17"/>
  <c r="I75" i="17"/>
  <c r="R70" i="2" s="1"/>
  <c r="Z70" i="2" s="1"/>
  <c r="S74" i="17"/>
  <c r="S94" i="17" s="1"/>
  <c r="S93" i="17"/>
  <c r="Q71" i="17"/>
  <c r="Q91" i="17" s="1"/>
  <c r="Q90" i="17"/>
  <c r="V68" i="17"/>
  <c r="V88" i="17" s="1"/>
  <c r="V87" i="17"/>
  <c r="AA74" i="17"/>
  <c r="AA94" i="17" s="1"/>
  <c r="AA93" i="17"/>
  <c r="K62" i="17"/>
  <c r="K82" i="17" s="1"/>
  <c r="K81" i="17"/>
  <c r="M62" i="17"/>
  <c r="M82" i="17" s="1"/>
  <c r="M81" i="17"/>
  <c r="X62" i="17"/>
  <c r="X82" i="17" s="1"/>
  <c r="X81" i="17"/>
  <c r="Q74" i="17"/>
  <c r="Q94" i="17" s="1"/>
  <c r="Q93" i="17"/>
  <c r="J62" i="17"/>
  <c r="J82" i="17" s="1"/>
  <c r="J81" i="17"/>
  <c r="S71" i="17"/>
  <c r="S91" i="17" s="1"/>
  <c r="S90" i="17"/>
  <c r="V71" i="17"/>
  <c r="V91" i="17" s="1"/>
  <c r="V90" i="17"/>
  <c r="AA71" i="17"/>
  <c r="AA91" i="17" s="1"/>
  <c r="AA90" i="17"/>
  <c r="R62" i="17"/>
  <c r="R82" i="17" s="1"/>
  <c r="R81" i="17"/>
  <c r="I72" i="17"/>
  <c r="R62" i="2" s="1"/>
  <c r="Z62" i="2" s="1"/>
  <c r="P74" i="17"/>
  <c r="P94" i="17" s="1"/>
  <c r="P93" i="17"/>
  <c r="AA68" i="17"/>
  <c r="AA88" i="17" s="1"/>
  <c r="AA87" i="17"/>
  <c r="L62" i="17"/>
  <c r="L82" i="17" s="1"/>
  <c r="L81" i="17"/>
  <c r="L51" i="17"/>
  <c r="U51" i="17"/>
  <c r="K51" i="17"/>
  <c r="R51" i="17"/>
  <c r="W54" i="17"/>
  <c r="W65" i="17" s="1"/>
  <c r="W85" i="17" s="1"/>
  <c r="W64" i="17"/>
  <c r="W84" i="17" s="1"/>
  <c r="AJ54" i="17"/>
  <c r="AJ65" i="17" s="1"/>
  <c r="AJ85" i="17" s="1"/>
  <c r="AJ64" i="17"/>
  <c r="AJ84" i="17" s="1"/>
  <c r="AB54" i="17"/>
  <c r="AB65" i="17" s="1"/>
  <c r="AB85" i="17" s="1"/>
  <c r="AB64" i="17"/>
  <c r="AB84" i="17" s="1"/>
  <c r="P50" i="17"/>
  <c r="P61" i="17" s="1"/>
  <c r="X51" i="17"/>
  <c r="J51" i="17"/>
  <c r="AA65" i="17"/>
  <c r="AA85" i="17" s="1"/>
  <c r="P65" i="17"/>
  <c r="O55" i="17"/>
  <c r="K38" i="2" s="1"/>
  <c r="AG54" i="17"/>
  <c r="AG64" i="17"/>
  <c r="AG84" i="17" s="1"/>
  <c r="Y54" i="17"/>
  <c r="Y65" i="17" s="1"/>
  <c r="Y85" i="17" s="1"/>
  <c r="Y64" i="17"/>
  <c r="Y84" i="17" s="1"/>
  <c r="S51" i="17"/>
  <c r="S61" i="17"/>
  <c r="Q50" i="17"/>
  <c r="Q61" i="17" s="1"/>
  <c r="V50" i="17"/>
  <c r="V61" i="17" s="1"/>
  <c r="AA50" i="17"/>
  <c r="AA61" i="17" s="1"/>
  <c r="AG31" i="17"/>
  <c r="AG70" i="17" s="1"/>
  <c r="AG23" i="17"/>
  <c r="AG29" i="17"/>
  <c r="AG67" i="17" s="1"/>
  <c r="AG39" i="17"/>
  <c r="AG102" i="17" s="1"/>
  <c r="AG103" i="17" s="1"/>
  <c r="AG37" i="17"/>
  <c r="AG99" i="17" s="1"/>
  <c r="AG100" i="17" s="1"/>
  <c r="AG35" i="17"/>
  <c r="AG96" i="17" s="1"/>
  <c r="AG97" i="17" s="1"/>
  <c r="AG33" i="17"/>
  <c r="AG73" i="17" s="1"/>
  <c r="AG25" i="17"/>
  <c r="W37" i="17"/>
  <c r="W99" i="17" s="1"/>
  <c r="W100" i="17" s="1"/>
  <c r="W35" i="17"/>
  <c r="W96" i="17" s="1"/>
  <c r="W97" i="17" s="1"/>
  <c r="W33" i="17"/>
  <c r="W73" i="17" s="1"/>
  <c r="W29" i="17"/>
  <c r="W67" i="17" s="1"/>
  <c r="W31" i="17"/>
  <c r="W70" i="17" s="1"/>
  <c r="W23" i="17"/>
  <c r="W39" i="17"/>
  <c r="W102" i="17" s="1"/>
  <c r="W103" i="17" s="1"/>
  <c r="W25" i="17"/>
  <c r="AJ39" i="17"/>
  <c r="AJ102" i="17" s="1"/>
  <c r="AJ103" i="17" s="1"/>
  <c r="AJ37" i="17"/>
  <c r="AJ99" i="17" s="1"/>
  <c r="AJ100" i="17" s="1"/>
  <c r="AJ35" i="17"/>
  <c r="AJ96" i="17" s="1"/>
  <c r="AJ97" i="17" s="1"/>
  <c r="AJ33" i="17"/>
  <c r="AJ73" i="17" s="1"/>
  <c r="AJ25" i="17"/>
  <c r="AJ31" i="17"/>
  <c r="AJ70" i="17" s="1"/>
  <c r="AJ29" i="17"/>
  <c r="AJ67" i="17" s="1"/>
  <c r="AJ23" i="17"/>
  <c r="Y31" i="17"/>
  <c r="Y70" i="17" s="1"/>
  <c r="Y23" i="17"/>
  <c r="Y29" i="17"/>
  <c r="Y67" i="17" s="1"/>
  <c r="Y39" i="17"/>
  <c r="Y102" i="17" s="1"/>
  <c r="Y103" i="17" s="1"/>
  <c r="Y37" i="17"/>
  <c r="Y99" i="17" s="1"/>
  <c r="Y100" i="17" s="1"/>
  <c r="Y35" i="17"/>
  <c r="Y96" i="17" s="1"/>
  <c r="Y97" i="17" s="1"/>
  <c r="Y33" i="17"/>
  <c r="Y73" i="17" s="1"/>
  <c r="Y25" i="17"/>
  <c r="Y50" i="17" s="1"/>
  <c r="AB39" i="17"/>
  <c r="AB102" i="17" s="1"/>
  <c r="AB103" i="17" s="1"/>
  <c r="AB37" i="17"/>
  <c r="AB99" i="17" s="1"/>
  <c r="AB100" i="17" s="1"/>
  <c r="AB35" i="17"/>
  <c r="AB96" i="17" s="1"/>
  <c r="AB97" i="17" s="1"/>
  <c r="AB33" i="17"/>
  <c r="AB73" i="17" s="1"/>
  <c r="AB25" i="17"/>
  <c r="AB31" i="17"/>
  <c r="AB70" i="17" s="1"/>
  <c r="AB29" i="17"/>
  <c r="AB67" i="17" s="1"/>
  <c r="AB23" i="17"/>
  <c r="J28" i="2"/>
  <c r="J29" i="2"/>
  <c r="C38" i="2"/>
  <c r="Z90" i="2" s="1"/>
  <c r="C34" i="2"/>
  <c r="R58" i="2" s="1"/>
  <c r="C30" i="2"/>
  <c r="J26" i="2" s="1"/>
  <c r="R26" i="2" s="1"/>
  <c r="Z26" i="2" s="1"/>
  <c r="C36" i="2"/>
  <c r="Z74" i="2" s="1"/>
  <c r="C35" i="2"/>
  <c r="R66" i="2" s="1"/>
  <c r="C37" i="2"/>
  <c r="Z82" i="2" s="1"/>
  <c r="C33" i="2"/>
  <c r="R50" i="2" s="1"/>
  <c r="C29" i="2"/>
  <c r="J10" i="2" s="1"/>
  <c r="R10" i="2" s="1"/>
  <c r="C31" i="2"/>
  <c r="E61" i="2"/>
  <c r="J36" i="2" s="1"/>
  <c r="R36" i="2" s="1"/>
  <c r="Z36" i="2" s="1"/>
  <c r="J37" i="2"/>
  <c r="R37" i="2" s="1"/>
  <c r="Z37" i="2" s="1"/>
  <c r="E65" i="2"/>
  <c r="J13" i="2"/>
  <c r="E62" i="2"/>
  <c r="R68" i="2" s="1"/>
  <c r="E77" i="2"/>
  <c r="C83" i="2" s="1"/>
  <c r="E78" i="2"/>
  <c r="C84" i="2" s="1"/>
  <c r="E79" i="2"/>
  <c r="C85" i="2" s="1"/>
  <c r="E76" i="2"/>
  <c r="C82" i="2" s="1"/>
  <c r="P47" i="1"/>
  <c r="G27" i="12" s="1"/>
  <c r="R34" i="1"/>
  <c r="R47" i="1" s="1"/>
  <c r="Q32" i="15"/>
  <c r="F47" i="12"/>
  <c r="T34" i="1"/>
  <c r="AH14" i="17" s="1"/>
  <c r="AH27" i="17" s="1"/>
  <c r="AH53" i="17" s="1"/>
  <c r="N48" i="1"/>
  <c r="E14" i="6"/>
  <c r="AC14" i="17"/>
  <c r="AC27" i="17" s="1"/>
  <c r="AC53" i="17" s="1"/>
  <c r="G30" i="16"/>
  <c r="T37" i="1"/>
  <c r="T50" i="1" s="1"/>
  <c r="T35" i="1"/>
  <c r="AE14" i="17"/>
  <c r="AE27" i="17" s="1"/>
  <c r="AE53" i="17" s="1"/>
  <c r="R37" i="1"/>
  <c r="R50" i="1" s="1"/>
  <c r="F32" i="12"/>
  <c r="F60" i="12" s="1"/>
  <c r="E52" i="12"/>
  <c r="E58" i="12" s="1"/>
  <c r="O69" i="15"/>
  <c r="E77" i="12" s="1"/>
  <c r="E84" i="12" s="1"/>
  <c r="O68" i="15"/>
  <c r="E76" i="12" s="1"/>
  <c r="E83" i="12" s="1"/>
  <c r="O67" i="15"/>
  <c r="E75" i="12" s="1"/>
  <c r="E82" i="12" s="1"/>
  <c r="K34" i="1"/>
  <c r="O44" i="15"/>
  <c r="M38" i="1"/>
  <c r="M34" i="1"/>
  <c r="M33" i="1"/>
  <c r="M37" i="1"/>
  <c r="M35" i="1"/>
  <c r="M36" i="1"/>
  <c r="F48" i="12"/>
  <c r="G46" i="12"/>
  <c r="G25" i="16"/>
  <c r="G26" i="16" s="1"/>
  <c r="F24" i="6" s="1"/>
  <c r="U26" i="1"/>
  <c r="Q40" i="15" s="1"/>
  <c r="Y22" i="1"/>
  <c r="R24" i="15"/>
  <c r="Y21" i="1"/>
  <c r="R23" i="15"/>
  <c r="W26" i="1"/>
  <c r="R20" i="15" s="1"/>
  <c r="R21" i="15" s="1"/>
  <c r="R35" i="1"/>
  <c r="Q33" i="15"/>
  <c r="R34" i="15"/>
  <c r="H24" i="16"/>
  <c r="R31" i="15"/>
  <c r="R30" i="15"/>
  <c r="R46" i="1"/>
  <c r="F21" i="6"/>
  <c r="E47" i="1"/>
  <c r="E48" i="1"/>
  <c r="E50" i="1"/>
  <c r="E51" i="1"/>
  <c r="E46" i="1"/>
  <c r="E49" i="1"/>
  <c r="T49" i="1"/>
  <c r="V36" i="1"/>
  <c r="T46" i="1"/>
  <c r="H26" i="12" s="1"/>
  <c r="V33" i="1"/>
  <c r="Y24" i="1"/>
  <c r="P39" i="1"/>
  <c r="Q30" i="15" s="1"/>
  <c r="P48" i="1"/>
  <c r="G28" i="12" s="1"/>
  <c r="N39" i="1"/>
  <c r="F52" i="1"/>
  <c r="N42" i="15" s="1"/>
  <c r="H52" i="1"/>
  <c r="K38" i="1"/>
  <c r="K33" i="1"/>
  <c r="K36" i="1"/>
  <c r="K37" i="1"/>
  <c r="K35" i="1"/>
  <c r="AD71" i="17" l="1"/>
  <c r="AD91" i="17" s="1"/>
  <c r="G29" i="12"/>
  <c r="G32" i="12" s="1"/>
  <c r="G60" i="12" s="1"/>
  <c r="AD68" i="17"/>
  <c r="AD88" i="17" s="1"/>
  <c r="AD74" i="17"/>
  <c r="AD94" i="17" s="1"/>
  <c r="I66" i="17"/>
  <c r="G47" i="12"/>
  <c r="O69" i="17"/>
  <c r="S54" i="2" s="1"/>
  <c r="AA54" i="2" s="1"/>
  <c r="L51" i="2"/>
  <c r="AB99" i="2"/>
  <c r="T75" i="2"/>
  <c r="AB75" i="2" s="1"/>
  <c r="K50" i="2"/>
  <c r="AA98" i="2"/>
  <c r="S74" i="2"/>
  <c r="O72" i="17"/>
  <c r="S62" i="2" s="1"/>
  <c r="AA62" i="2" s="1"/>
  <c r="U98" i="17"/>
  <c r="AB78" i="2" s="1"/>
  <c r="U101" i="17"/>
  <c r="AB86" i="2" s="1"/>
  <c r="U104" i="17"/>
  <c r="AB94" i="2" s="1"/>
  <c r="S61" i="2"/>
  <c r="Z61" i="2"/>
  <c r="F23" i="6"/>
  <c r="F25" i="6" s="1"/>
  <c r="E16" i="6"/>
  <c r="E18" i="6" s="1"/>
  <c r="J21" i="2"/>
  <c r="R13" i="2"/>
  <c r="Z13" i="2" s="1"/>
  <c r="Z66" i="2"/>
  <c r="R73" i="2"/>
  <c r="Z73" i="2" s="1"/>
  <c r="S66" i="2"/>
  <c r="Z97" i="2"/>
  <c r="AA90" i="2"/>
  <c r="Z52" i="2"/>
  <c r="S52" i="2"/>
  <c r="K29" i="2"/>
  <c r="R29" i="2"/>
  <c r="Z29" i="2" s="1"/>
  <c r="AA74" i="2"/>
  <c r="AB74" i="2" s="1"/>
  <c r="AC74" i="2" s="1"/>
  <c r="AD74" i="2" s="1"/>
  <c r="Z81" i="2"/>
  <c r="K46" i="2"/>
  <c r="S46" i="2" s="1"/>
  <c r="AA46" i="2" s="1"/>
  <c r="S38" i="2"/>
  <c r="AA38" i="2" s="1"/>
  <c r="T69" i="2"/>
  <c r="AA69" i="2"/>
  <c r="Z50" i="2"/>
  <c r="S50" i="2"/>
  <c r="K28" i="2"/>
  <c r="R28" i="2"/>
  <c r="Z28" i="2" s="1"/>
  <c r="Z60" i="2"/>
  <c r="S60" i="2"/>
  <c r="J46" i="2"/>
  <c r="R46" i="2" s="1"/>
  <c r="Z46" i="2" s="1"/>
  <c r="R38" i="2"/>
  <c r="Z38" i="2" s="1"/>
  <c r="J18" i="2"/>
  <c r="R18" i="2" s="1"/>
  <c r="Z18" i="2" s="1"/>
  <c r="Z10" i="2"/>
  <c r="I89" i="17"/>
  <c r="R54" i="2"/>
  <c r="Z54" i="2" s="1"/>
  <c r="Z68" i="2"/>
  <c r="S68" i="2"/>
  <c r="AA82" i="2"/>
  <c r="Z89" i="2"/>
  <c r="Z58" i="2"/>
  <c r="S58" i="2"/>
  <c r="R65" i="2"/>
  <c r="Z65" i="2" s="1"/>
  <c r="Z53" i="2"/>
  <c r="S53" i="2"/>
  <c r="G31" i="16"/>
  <c r="G32" i="16" s="1"/>
  <c r="F17" i="6" s="1"/>
  <c r="Y71" i="17"/>
  <c r="Y91" i="17" s="1"/>
  <c r="Y90" i="17"/>
  <c r="O66" i="17"/>
  <c r="O86" i="17" s="1"/>
  <c r="P85" i="17"/>
  <c r="AB74" i="17"/>
  <c r="AB94" i="17" s="1"/>
  <c r="AB93" i="17"/>
  <c r="W68" i="17"/>
  <c r="W87" i="17"/>
  <c r="AA62" i="17"/>
  <c r="AA82" i="17" s="1"/>
  <c r="AA81" i="17"/>
  <c r="O95" i="17"/>
  <c r="O75" i="17"/>
  <c r="S70" i="2" s="1"/>
  <c r="AA70" i="2" s="1"/>
  <c r="AB68" i="17"/>
  <c r="AB88" i="17" s="1"/>
  <c r="AB87" i="17"/>
  <c r="Y74" i="17"/>
  <c r="Y94" i="17" s="1"/>
  <c r="Y93" i="17"/>
  <c r="Y68" i="17"/>
  <c r="Y88" i="17" s="1"/>
  <c r="Y87" i="17"/>
  <c r="AJ68" i="17"/>
  <c r="AJ88" i="17" s="1"/>
  <c r="AJ87" i="17"/>
  <c r="W74" i="17"/>
  <c r="W94" i="17" s="1"/>
  <c r="W93" i="17"/>
  <c r="AG74" i="17"/>
  <c r="AG94" i="17" s="1"/>
  <c r="AG93" i="17"/>
  <c r="AG68" i="17"/>
  <c r="AG88" i="17" s="1"/>
  <c r="AG87" i="17"/>
  <c r="V62" i="17"/>
  <c r="V82" i="17" s="1"/>
  <c r="V81" i="17"/>
  <c r="W71" i="17"/>
  <c r="W91" i="17" s="1"/>
  <c r="W90" i="17"/>
  <c r="AG71" i="17"/>
  <c r="AG91" i="17" s="1"/>
  <c r="AG90" i="17"/>
  <c r="Q62" i="17"/>
  <c r="Q82" i="17" s="1"/>
  <c r="Q81" i="17"/>
  <c r="P62" i="17"/>
  <c r="P82" i="17" s="1"/>
  <c r="P81" i="17"/>
  <c r="AJ74" i="17"/>
  <c r="AJ94" i="17" s="1"/>
  <c r="AJ93" i="17"/>
  <c r="S62" i="17"/>
  <c r="S82" i="17" s="1"/>
  <c r="S81" i="17"/>
  <c r="AB71" i="17"/>
  <c r="AB91" i="17" s="1"/>
  <c r="AB90" i="17"/>
  <c r="AJ71" i="17"/>
  <c r="AJ91" i="17" s="1"/>
  <c r="AJ90" i="17"/>
  <c r="AD62" i="17"/>
  <c r="AD82" i="17" s="1"/>
  <c r="AD81" i="17"/>
  <c r="O92" i="17"/>
  <c r="I52" i="17"/>
  <c r="I56" i="17" s="1"/>
  <c r="U66" i="17"/>
  <c r="U86" i="17" s="1"/>
  <c r="AE54" i="17"/>
  <c r="AE65" i="17" s="1"/>
  <c r="AE85" i="17" s="1"/>
  <c r="AE64" i="17"/>
  <c r="AE84" i="17" s="1"/>
  <c r="AA51" i="17"/>
  <c r="AB50" i="17"/>
  <c r="AB61" i="17" s="1"/>
  <c r="AJ50" i="17"/>
  <c r="AJ61" i="17" s="1"/>
  <c r="P51" i="17"/>
  <c r="AH64" i="17"/>
  <c r="AH84" i="17" s="1"/>
  <c r="AH54" i="17"/>
  <c r="AH65" i="17" s="1"/>
  <c r="AH85" i="17" s="1"/>
  <c r="AC54" i="17"/>
  <c r="AC65" i="17" s="1"/>
  <c r="AC85" i="17" s="1"/>
  <c r="AC64" i="17"/>
  <c r="AC84" i="17" s="1"/>
  <c r="AD51" i="17"/>
  <c r="AG65" i="17"/>
  <c r="AG85" i="17" s="1"/>
  <c r="Y51" i="17"/>
  <c r="Y61" i="17"/>
  <c r="W50" i="17"/>
  <c r="W61" i="17" s="1"/>
  <c r="AG50" i="17"/>
  <c r="AG61" i="17" s="1"/>
  <c r="U55" i="17"/>
  <c r="L38" i="2" s="1"/>
  <c r="V51" i="17"/>
  <c r="Q51" i="17"/>
  <c r="AC31" i="17"/>
  <c r="AC70" i="17" s="1"/>
  <c r="AC23" i="17"/>
  <c r="AC39" i="17"/>
  <c r="AC102" i="17" s="1"/>
  <c r="AC103" i="17" s="1"/>
  <c r="AC37" i="17"/>
  <c r="AC99" i="17" s="1"/>
  <c r="AC100" i="17" s="1"/>
  <c r="AC35" i="17"/>
  <c r="AC96" i="17" s="1"/>
  <c r="AC97" i="17" s="1"/>
  <c r="AC33" i="17"/>
  <c r="AC73" i="17" s="1"/>
  <c r="AC25" i="17"/>
  <c r="AC29" i="17"/>
  <c r="AC67" i="17" s="1"/>
  <c r="AH29" i="17"/>
  <c r="AH67" i="17" s="1"/>
  <c r="AH31" i="17"/>
  <c r="AH70" i="17" s="1"/>
  <c r="AH23" i="17"/>
  <c r="AH39" i="17"/>
  <c r="AH102" i="17" s="1"/>
  <c r="AH103" i="17" s="1"/>
  <c r="AH37" i="17"/>
  <c r="AH99" i="17" s="1"/>
  <c r="AH100" i="17" s="1"/>
  <c r="AH35" i="17"/>
  <c r="AH96" i="17" s="1"/>
  <c r="AH97" i="17" s="1"/>
  <c r="AH33" i="17"/>
  <c r="AH73" i="17" s="1"/>
  <c r="AH25" i="17"/>
  <c r="AE39" i="17"/>
  <c r="AE102" i="17" s="1"/>
  <c r="AE103" i="17" s="1"/>
  <c r="AE37" i="17"/>
  <c r="AE99" i="17" s="1"/>
  <c r="AE100" i="17" s="1"/>
  <c r="AE35" i="17"/>
  <c r="AE96" i="17" s="1"/>
  <c r="AE97" i="17" s="1"/>
  <c r="AE33" i="17"/>
  <c r="AE73" i="17" s="1"/>
  <c r="AE29" i="17"/>
  <c r="AE67" i="17" s="1"/>
  <c r="AE31" i="17"/>
  <c r="AE70" i="17" s="1"/>
  <c r="AE23" i="17"/>
  <c r="AE25" i="17"/>
  <c r="AE50" i="17" s="1"/>
  <c r="K36" i="2"/>
  <c r="J44" i="2"/>
  <c r="J11" i="2"/>
  <c r="K11" i="2" s="1"/>
  <c r="J12" i="2"/>
  <c r="J34" i="2"/>
  <c r="R34" i="2" s="1"/>
  <c r="Z34" i="2" s="1"/>
  <c r="C32" i="2"/>
  <c r="J42" i="2" s="1"/>
  <c r="R42" i="2" s="1"/>
  <c r="Z42" i="2" s="1"/>
  <c r="K13" i="2"/>
  <c r="J45" i="2"/>
  <c r="K37" i="2"/>
  <c r="K26" i="2"/>
  <c r="S26" i="2" s="1"/>
  <c r="AA26" i="2" s="1"/>
  <c r="K10" i="2"/>
  <c r="S10" i="2" s="1"/>
  <c r="AA10" i="2" s="1"/>
  <c r="V34" i="1"/>
  <c r="V47" i="1" s="1"/>
  <c r="R32" i="15"/>
  <c r="AI14" i="17"/>
  <c r="AI27" i="17" s="1"/>
  <c r="AI53" i="17" s="1"/>
  <c r="H30" i="16"/>
  <c r="T47" i="1"/>
  <c r="H27" i="12" s="1"/>
  <c r="R48" i="1"/>
  <c r="F14" i="6"/>
  <c r="T48" i="1"/>
  <c r="H28" i="12" s="1"/>
  <c r="V35" i="1"/>
  <c r="T39" i="1"/>
  <c r="U37" i="1" s="1"/>
  <c r="R33" i="15"/>
  <c r="AK14" i="17"/>
  <c r="AK27" i="17" s="1"/>
  <c r="AK53" i="17" s="1"/>
  <c r="V37" i="1"/>
  <c r="V50" i="1" s="1"/>
  <c r="F52" i="12"/>
  <c r="F58" i="12" s="1"/>
  <c r="P69" i="15"/>
  <c r="F77" i="12" s="1"/>
  <c r="F84" i="12" s="1"/>
  <c r="P68" i="15"/>
  <c r="F76" i="12" s="1"/>
  <c r="F83" i="12" s="1"/>
  <c r="P67" i="15"/>
  <c r="F75" i="12" s="1"/>
  <c r="F82" i="12" s="1"/>
  <c r="O34" i="1"/>
  <c r="P44" i="15"/>
  <c r="Q33" i="1"/>
  <c r="O37" i="1"/>
  <c r="O35" i="1"/>
  <c r="Q34" i="1"/>
  <c r="Q38" i="1"/>
  <c r="Q37" i="1"/>
  <c r="O36" i="1"/>
  <c r="O38" i="1"/>
  <c r="Q35" i="1"/>
  <c r="O33" i="1"/>
  <c r="Q36" i="1"/>
  <c r="H29" i="12"/>
  <c r="G48" i="12"/>
  <c r="H46" i="12"/>
  <c r="H25" i="16"/>
  <c r="Y26" i="1"/>
  <c r="R40" i="15" s="1"/>
  <c r="V46" i="1"/>
  <c r="G21" i="6"/>
  <c r="I51" i="1"/>
  <c r="I50" i="1"/>
  <c r="I48" i="1"/>
  <c r="I47" i="1"/>
  <c r="I46" i="1"/>
  <c r="I49" i="1"/>
  <c r="G51" i="1"/>
  <c r="G50" i="1"/>
  <c r="G48" i="1"/>
  <c r="G47" i="1"/>
  <c r="G46" i="1"/>
  <c r="G49" i="1"/>
  <c r="V49" i="1"/>
  <c r="H49" i="12"/>
  <c r="R39" i="1"/>
  <c r="L52" i="1"/>
  <c r="H26" i="16" l="1"/>
  <c r="G24" i="6" s="1"/>
  <c r="O89" i="17"/>
  <c r="U92" i="17"/>
  <c r="K18" i="2"/>
  <c r="S18" i="2" s="1"/>
  <c r="AA18" i="2" s="1"/>
  <c r="U75" i="2"/>
  <c r="AC75" i="2" s="1"/>
  <c r="M51" i="2"/>
  <c r="AC99" i="2"/>
  <c r="L50" i="2"/>
  <c r="AB98" i="2"/>
  <c r="T74" i="2"/>
  <c r="U72" i="17"/>
  <c r="T62" i="2" s="1"/>
  <c r="AB62" i="2" s="1"/>
  <c r="AB81" i="2" s="1"/>
  <c r="AA98" i="17"/>
  <c r="AC78" i="2" s="1"/>
  <c r="AA101" i="17"/>
  <c r="AC86" i="2" s="1"/>
  <c r="F16" i="6"/>
  <c r="F18" i="6" s="1"/>
  <c r="K45" i="2"/>
  <c r="R45" i="2"/>
  <c r="Z45" i="2" s="1"/>
  <c r="L36" i="2"/>
  <c r="S36" i="2"/>
  <c r="AA36" i="2" s="1"/>
  <c r="T53" i="2"/>
  <c r="AA53" i="2"/>
  <c r="AA58" i="2"/>
  <c r="S65" i="2"/>
  <c r="AA65" i="2" s="1"/>
  <c r="T58" i="2"/>
  <c r="AA68" i="2"/>
  <c r="T68" i="2"/>
  <c r="R57" i="2"/>
  <c r="Z57" i="2" s="1"/>
  <c r="U69" i="2"/>
  <c r="AB69" i="2"/>
  <c r="L11" i="2"/>
  <c r="S11" i="2"/>
  <c r="AA11" i="2" s="1"/>
  <c r="L13" i="2"/>
  <c r="S13" i="2"/>
  <c r="AA13" i="2" s="1"/>
  <c r="J20" i="2"/>
  <c r="R12" i="2"/>
  <c r="AA50" i="2"/>
  <c r="T50" i="2"/>
  <c r="S57" i="2"/>
  <c r="AA57" i="2" s="1"/>
  <c r="AA97" i="2"/>
  <c r="AB90" i="2"/>
  <c r="T61" i="2"/>
  <c r="AA61" i="2"/>
  <c r="R11" i="2"/>
  <c r="Z11" i="2" s="1"/>
  <c r="AA104" i="17"/>
  <c r="AC94" i="2" s="1"/>
  <c r="I86" i="17"/>
  <c r="J111" i="17"/>
  <c r="I63" i="17"/>
  <c r="I83" i="17" s="1"/>
  <c r="J30" i="2"/>
  <c r="R30" i="2" s="1"/>
  <c r="Z30" i="2" s="1"/>
  <c r="L29" i="2"/>
  <c r="S29" i="2"/>
  <c r="AA29" i="2" s="1"/>
  <c r="G23" i="6"/>
  <c r="L37" i="2"/>
  <c r="S37" i="2"/>
  <c r="AA37" i="2" s="1"/>
  <c r="K44" i="2"/>
  <c r="R44" i="2"/>
  <c r="Z44" i="2" s="1"/>
  <c r="L46" i="2"/>
  <c r="T46" i="2" s="1"/>
  <c r="AB46" i="2" s="1"/>
  <c r="T38" i="2"/>
  <c r="AB38" i="2" s="1"/>
  <c r="AB82" i="2"/>
  <c r="AA89" i="2"/>
  <c r="T60" i="2"/>
  <c r="AA60" i="2"/>
  <c r="L28" i="2"/>
  <c r="S28" i="2"/>
  <c r="AA28" i="2" s="1"/>
  <c r="T52" i="2"/>
  <c r="AA52" i="2"/>
  <c r="AA66" i="2"/>
  <c r="T66" i="2"/>
  <c r="S73" i="2"/>
  <c r="AA73" i="2" s="1"/>
  <c r="K21" i="2"/>
  <c r="R21" i="2"/>
  <c r="Z21" i="2" s="1"/>
  <c r="H31" i="16"/>
  <c r="H32" i="16" s="1"/>
  <c r="G17" i="6" s="1"/>
  <c r="Y62" i="17"/>
  <c r="Y82" i="17" s="1"/>
  <c r="Y81" i="17"/>
  <c r="AE71" i="17"/>
  <c r="AE91" i="17" s="1"/>
  <c r="AE90" i="17"/>
  <c r="AH71" i="17"/>
  <c r="AH91" i="17" s="1"/>
  <c r="AH90" i="17"/>
  <c r="AJ62" i="17"/>
  <c r="AJ82" i="17" s="1"/>
  <c r="AJ81" i="17"/>
  <c r="U95" i="17"/>
  <c r="AE74" i="17"/>
  <c r="AE94" i="17" s="1"/>
  <c r="AE93" i="17"/>
  <c r="AC68" i="17"/>
  <c r="AC88" i="17" s="1"/>
  <c r="AC87" i="17"/>
  <c r="W62" i="17"/>
  <c r="W82" i="17" s="1"/>
  <c r="W81" i="17"/>
  <c r="W88" i="17"/>
  <c r="U69" i="17"/>
  <c r="AH74" i="17"/>
  <c r="AH94" i="17" s="1"/>
  <c r="AH93" i="17"/>
  <c r="AC74" i="17"/>
  <c r="AC94" i="17" s="1"/>
  <c r="AC93" i="17"/>
  <c r="U75" i="17"/>
  <c r="T70" i="2" s="1"/>
  <c r="AB70" i="2" s="1"/>
  <c r="AE68" i="17"/>
  <c r="AE88" i="17" s="1"/>
  <c r="AE87" i="17"/>
  <c r="AH68" i="17"/>
  <c r="AH88" i="17" s="1"/>
  <c r="AH87" i="17"/>
  <c r="AC71" i="17"/>
  <c r="AC91" i="17" s="1"/>
  <c r="AC90" i="17"/>
  <c r="AG62" i="17"/>
  <c r="AG82" i="17" s="1"/>
  <c r="AG81" i="17"/>
  <c r="AB62" i="17"/>
  <c r="AB82" i="17" s="1"/>
  <c r="AB81" i="17"/>
  <c r="O52" i="17"/>
  <c r="K30" i="2" s="1"/>
  <c r="S30" i="2" s="1"/>
  <c r="AA30" i="2" s="1"/>
  <c r="AA66" i="17"/>
  <c r="AA86" i="17" s="1"/>
  <c r="AG51" i="17"/>
  <c r="W51" i="17"/>
  <c r="U52" i="17" s="1"/>
  <c r="L30" i="2" s="1"/>
  <c r="T30" i="2" s="1"/>
  <c r="AB30" i="2" s="1"/>
  <c r="AI54" i="17"/>
  <c r="AI65" i="17" s="1"/>
  <c r="AI85" i="17" s="1"/>
  <c r="AI64" i="17"/>
  <c r="AI84" i="17" s="1"/>
  <c r="AE51" i="17"/>
  <c r="AE61" i="17"/>
  <c r="AC50" i="17"/>
  <c r="AC61" i="17" s="1"/>
  <c r="AA55" i="17"/>
  <c r="M38" i="2" s="1"/>
  <c r="AB51" i="17"/>
  <c r="AH50" i="17"/>
  <c r="AH61" i="17" s="1"/>
  <c r="AK54" i="17"/>
  <c r="AK65" i="17" s="1"/>
  <c r="AK85" i="17" s="1"/>
  <c r="AK64" i="17"/>
  <c r="AK84" i="17" s="1"/>
  <c r="AJ51" i="17"/>
  <c r="AK31" i="17"/>
  <c r="AK70" i="17" s="1"/>
  <c r="AK23" i="17"/>
  <c r="AK39" i="17"/>
  <c r="AK102" i="17" s="1"/>
  <c r="AK103" i="17" s="1"/>
  <c r="AK37" i="17"/>
  <c r="AK99" i="17" s="1"/>
  <c r="AK100" i="17" s="1"/>
  <c r="AK35" i="17"/>
  <c r="AK96" i="17" s="1"/>
  <c r="AK97" i="17" s="1"/>
  <c r="AK33" i="17"/>
  <c r="AK73" i="17" s="1"/>
  <c r="AK25" i="17"/>
  <c r="AK50" i="17" s="1"/>
  <c r="AK29" i="17"/>
  <c r="AK67" i="17" s="1"/>
  <c r="AI39" i="17"/>
  <c r="AI102" i="17" s="1"/>
  <c r="AI103" i="17" s="1"/>
  <c r="AI37" i="17"/>
  <c r="AI99" i="17" s="1"/>
  <c r="AI100" i="17" s="1"/>
  <c r="AI29" i="17"/>
  <c r="AI67" i="17" s="1"/>
  <c r="AI35" i="17"/>
  <c r="AI96" i="17" s="1"/>
  <c r="AI97" i="17" s="1"/>
  <c r="AI33" i="17"/>
  <c r="AI73" i="17" s="1"/>
  <c r="AI31" i="17"/>
  <c r="AI70" i="17" s="1"/>
  <c r="AI23" i="17"/>
  <c r="AI25" i="17"/>
  <c r="J27" i="2"/>
  <c r="R27" i="2" s="1"/>
  <c r="Z27" i="2" s="1"/>
  <c r="J19" i="2"/>
  <c r="R19" i="2" s="1"/>
  <c r="Z19" i="2" s="1"/>
  <c r="L26" i="2"/>
  <c r="T26" i="2" s="1"/>
  <c r="AB26" i="2" s="1"/>
  <c r="J49" i="2"/>
  <c r="R49" i="2" s="1"/>
  <c r="Z49" i="2" s="1"/>
  <c r="K42" i="2"/>
  <c r="S42" i="2" s="1"/>
  <c r="AA42" i="2" s="1"/>
  <c r="K34" i="2"/>
  <c r="S34" i="2" s="1"/>
  <c r="AA34" i="2" s="1"/>
  <c r="J41" i="2"/>
  <c r="R41" i="2" s="1"/>
  <c r="Z41" i="2" s="1"/>
  <c r="K12" i="2"/>
  <c r="J17" i="2"/>
  <c r="L10" i="2"/>
  <c r="T10" i="2" s="1"/>
  <c r="AB10" i="2" s="1"/>
  <c r="H47" i="12"/>
  <c r="V48" i="1"/>
  <c r="V52" i="1" s="1"/>
  <c r="R42" i="15" s="1"/>
  <c r="G14" i="6"/>
  <c r="U34" i="1"/>
  <c r="U38" i="1"/>
  <c r="U35" i="1"/>
  <c r="U36" i="1"/>
  <c r="Z22" i="1"/>
  <c r="H27" i="13" s="1"/>
  <c r="Z25" i="1"/>
  <c r="V39" i="1"/>
  <c r="R69" i="15" s="1"/>
  <c r="H77" i="12" s="1"/>
  <c r="H48" i="12"/>
  <c r="T52" i="1"/>
  <c r="U51" i="1" s="1"/>
  <c r="U33" i="1"/>
  <c r="Z23" i="1"/>
  <c r="H28" i="13" s="1"/>
  <c r="Z21" i="1"/>
  <c r="H26" i="13" s="1"/>
  <c r="Z20" i="1"/>
  <c r="H25" i="13" s="1"/>
  <c r="Z24" i="1"/>
  <c r="G52" i="12"/>
  <c r="G58" i="12" s="1"/>
  <c r="H32" i="12"/>
  <c r="H60" i="12" s="1"/>
  <c r="Q69" i="15"/>
  <c r="G77" i="12" s="1"/>
  <c r="G84" i="12" s="1"/>
  <c r="Q68" i="15"/>
  <c r="G76" i="12" s="1"/>
  <c r="G83" i="12" s="1"/>
  <c r="Q67" i="15"/>
  <c r="G75" i="12" s="1"/>
  <c r="G82" i="12" s="1"/>
  <c r="S38" i="1"/>
  <c r="Q44" i="15"/>
  <c r="S34" i="1"/>
  <c r="S33" i="1"/>
  <c r="S35" i="1"/>
  <c r="S37" i="1"/>
  <c r="S36" i="1"/>
  <c r="M51" i="1"/>
  <c r="M50" i="1"/>
  <c r="M48" i="1"/>
  <c r="M47" i="1"/>
  <c r="M46" i="1"/>
  <c r="M49" i="1"/>
  <c r="J52" i="1"/>
  <c r="O42" i="15" s="1"/>
  <c r="P52" i="1"/>
  <c r="G25" i="6" l="1"/>
  <c r="V75" i="2" s="1"/>
  <c r="AD75" i="2" s="1"/>
  <c r="J53" i="2"/>
  <c r="J63" i="2" s="1"/>
  <c r="AA92" i="17"/>
  <c r="Z12" i="2"/>
  <c r="O56" i="17"/>
  <c r="K111" i="17" s="1"/>
  <c r="L18" i="2"/>
  <c r="T18" i="2" s="1"/>
  <c r="AB18" i="2" s="1"/>
  <c r="O63" i="17"/>
  <c r="O76" i="17" s="1"/>
  <c r="K112" i="17" s="1"/>
  <c r="R17" i="2"/>
  <c r="U74" i="2"/>
  <c r="M50" i="2"/>
  <c r="AC98" i="2"/>
  <c r="I76" i="17"/>
  <c r="J112" i="17" s="1"/>
  <c r="AG101" i="17"/>
  <c r="AD86" i="2" s="1"/>
  <c r="AG104" i="17"/>
  <c r="AD94" i="2" s="1"/>
  <c r="AG98" i="17"/>
  <c r="AD78" i="2" s="1"/>
  <c r="L12" i="2"/>
  <c r="S12" i="2"/>
  <c r="AB52" i="2"/>
  <c r="U52" i="2"/>
  <c r="U60" i="2"/>
  <c r="AB60" i="2"/>
  <c r="U61" i="2"/>
  <c r="AB61" i="2"/>
  <c r="U50" i="2"/>
  <c r="AB50" i="2"/>
  <c r="V69" i="2"/>
  <c r="AD69" i="2" s="1"/>
  <c r="AC69" i="2"/>
  <c r="T65" i="2"/>
  <c r="AB65" i="2" s="1"/>
  <c r="AB58" i="2"/>
  <c r="U58" i="2"/>
  <c r="AB53" i="2"/>
  <c r="U53" i="2"/>
  <c r="L45" i="2"/>
  <c r="S45" i="2"/>
  <c r="AA45" i="2" s="1"/>
  <c r="U66" i="2"/>
  <c r="AB66" i="2"/>
  <c r="T73" i="2"/>
  <c r="AB73" i="2" s="1"/>
  <c r="M37" i="2"/>
  <c r="T37" i="2"/>
  <c r="AB37" i="2" s="1"/>
  <c r="AC90" i="2"/>
  <c r="AB97" i="2"/>
  <c r="K20" i="2"/>
  <c r="K53" i="2" s="1"/>
  <c r="K63" i="2" s="1"/>
  <c r="R20" i="2"/>
  <c r="Z20" i="2" s="1"/>
  <c r="M11" i="2"/>
  <c r="T11" i="2"/>
  <c r="AB11" i="2" s="1"/>
  <c r="M46" i="2"/>
  <c r="U46" i="2" s="1"/>
  <c r="AC46" i="2" s="1"/>
  <c r="U38" i="2"/>
  <c r="AC38" i="2" s="1"/>
  <c r="U89" i="17"/>
  <c r="T54" i="2"/>
  <c r="AB54" i="2" s="1"/>
  <c r="M28" i="2"/>
  <c r="T28" i="2"/>
  <c r="AB28" i="2" s="1"/>
  <c r="AC82" i="2"/>
  <c r="AB89" i="2"/>
  <c r="U68" i="2"/>
  <c r="AB68" i="2"/>
  <c r="M36" i="2"/>
  <c r="T36" i="2"/>
  <c r="AB36" i="2" s="1"/>
  <c r="G16" i="6"/>
  <c r="G18" i="6" s="1"/>
  <c r="L21" i="2"/>
  <c r="S21" i="2"/>
  <c r="AA21" i="2" s="1"/>
  <c r="L44" i="2"/>
  <c r="S44" i="2"/>
  <c r="AA44" i="2" s="1"/>
  <c r="M29" i="2"/>
  <c r="T29" i="2"/>
  <c r="AB29" i="2" s="1"/>
  <c r="I105" i="17"/>
  <c r="J113" i="17" s="1"/>
  <c r="M13" i="2"/>
  <c r="T13" i="2"/>
  <c r="AB13" i="2" s="1"/>
  <c r="AK74" i="17"/>
  <c r="AK94" i="17" s="1"/>
  <c r="AK93" i="17"/>
  <c r="AA75" i="17"/>
  <c r="U70" i="2" s="1"/>
  <c r="AC70" i="2" s="1"/>
  <c r="AI74" i="17"/>
  <c r="AI94" i="17" s="1"/>
  <c r="AI93" i="17"/>
  <c r="AH62" i="17"/>
  <c r="AH82" i="17" s="1"/>
  <c r="AH81" i="17"/>
  <c r="AE62" i="17"/>
  <c r="AE82" i="17" s="1"/>
  <c r="AE81" i="17"/>
  <c r="AI68" i="17"/>
  <c r="AI87" i="17"/>
  <c r="AI71" i="17"/>
  <c r="AI91" i="17" s="1"/>
  <c r="AI90" i="17"/>
  <c r="AC62" i="17"/>
  <c r="AC82" i="17" s="1"/>
  <c r="AC81" i="17"/>
  <c r="AA69" i="17"/>
  <c r="AA72" i="17"/>
  <c r="U62" i="2" s="1"/>
  <c r="AC62" i="2" s="1"/>
  <c r="AK71" i="17"/>
  <c r="AK91" i="17" s="1"/>
  <c r="AK90" i="17"/>
  <c r="AK68" i="17"/>
  <c r="AK88" i="17" s="1"/>
  <c r="AK87" i="17"/>
  <c r="AA95" i="17"/>
  <c r="AG66" i="17"/>
  <c r="AG86" i="17" s="1"/>
  <c r="U56" i="17"/>
  <c r="L111" i="17" s="1"/>
  <c r="U63" i="17"/>
  <c r="U83" i="17" s="1"/>
  <c r="AG55" i="17"/>
  <c r="N38" i="2" s="1"/>
  <c r="AK51" i="17"/>
  <c r="AK61" i="17"/>
  <c r="AI50" i="17"/>
  <c r="AI61" i="17" s="1"/>
  <c r="AH51" i="17"/>
  <c r="AC51" i="17"/>
  <c r="AA52" i="17" s="1"/>
  <c r="M30" i="2" s="1"/>
  <c r="U30" i="2" s="1"/>
  <c r="AC30" i="2" s="1"/>
  <c r="M26" i="2"/>
  <c r="U26" i="2" s="1"/>
  <c r="AC26" i="2" s="1"/>
  <c r="K27" i="2"/>
  <c r="S27" i="2" s="1"/>
  <c r="AA27" i="2" s="1"/>
  <c r="J33" i="2"/>
  <c r="R33" i="2" s="1"/>
  <c r="K17" i="2"/>
  <c r="K19" i="2"/>
  <c r="S19" i="2" s="1"/>
  <c r="AA19" i="2" s="1"/>
  <c r="J25" i="2"/>
  <c r="R25" i="2" s="1"/>
  <c r="Z25" i="2" s="1"/>
  <c r="K41" i="2"/>
  <c r="S41" i="2" s="1"/>
  <c r="AA41" i="2" s="1"/>
  <c r="L34" i="2"/>
  <c r="T34" i="2" s="1"/>
  <c r="AB34" i="2" s="1"/>
  <c r="K49" i="2"/>
  <c r="S49" i="2" s="1"/>
  <c r="AA49" i="2" s="1"/>
  <c r="L42" i="2"/>
  <c r="T42" i="2" s="1"/>
  <c r="AB42" i="2" s="1"/>
  <c r="M10" i="2"/>
  <c r="U10" i="2" s="1"/>
  <c r="AC10" i="2" s="1"/>
  <c r="H52" i="12"/>
  <c r="H58" i="12" s="1"/>
  <c r="W34" i="1"/>
  <c r="W38" i="1"/>
  <c r="R67" i="15"/>
  <c r="H75" i="12" s="1"/>
  <c r="H82" i="12" s="1"/>
  <c r="W35" i="1"/>
  <c r="AB51" i="1"/>
  <c r="R44" i="15"/>
  <c r="U47" i="1"/>
  <c r="R68" i="15"/>
  <c r="H76" i="12" s="1"/>
  <c r="H83" i="12" s="1"/>
  <c r="W36" i="1"/>
  <c r="W33" i="1"/>
  <c r="W37" i="1"/>
  <c r="U48" i="1"/>
  <c r="U49" i="1"/>
  <c r="U50" i="1"/>
  <c r="U46" i="1"/>
  <c r="H84" i="12"/>
  <c r="W48" i="1"/>
  <c r="W50" i="1"/>
  <c r="W51" i="1"/>
  <c r="W47" i="1"/>
  <c r="W49" i="1"/>
  <c r="W46" i="1"/>
  <c r="Q51" i="1"/>
  <c r="Q50" i="1"/>
  <c r="Q48" i="1"/>
  <c r="Q47" i="1"/>
  <c r="Q46" i="1"/>
  <c r="Q49" i="1"/>
  <c r="K51" i="1"/>
  <c r="K50" i="1"/>
  <c r="K48" i="1"/>
  <c r="K47" i="1"/>
  <c r="K46" i="1"/>
  <c r="K49" i="1"/>
  <c r="R52" i="1"/>
  <c r="Q42" i="15" s="1"/>
  <c r="N52" i="1"/>
  <c r="P42" i="15" s="1"/>
  <c r="X25" i="1"/>
  <c r="X20" i="1"/>
  <c r="X23" i="1"/>
  <c r="X24" i="1"/>
  <c r="X21" i="1"/>
  <c r="X22" i="1"/>
  <c r="AD99" i="2" l="1"/>
  <c r="N51" i="2"/>
  <c r="Z101" i="2"/>
  <c r="J65" i="2" s="1"/>
  <c r="AA12" i="2"/>
  <c r="R76" i="2"/>
  <c r="R77" i="2"/>
  <c r="J64" i="2" s="1"/>
  <c r="J52" i="2"/>
  <c r="L17" i="2"/>
  <c r="T17" i="2" s="1"/>
  <c r="AD81" i="2"/>
  <c r="M18" i="2"/>
  <c r="U18" i="2" s="1"/>
  <c r="AC18" i="2" s="1"/>
  <c r="O83" i="17"/>
  <c r="O105" i="17" s="1"/>
  <c r="K113" i="17" s="1"/>
  <c r="S17" i="2"/>
  <c r="Z17" i="2"/>
  <c r="AD98" i="2"/>
  <c r="V74" i="2"/>
  <c r="N50" i="2"/>
  <c r="AG72" i="17"/>
  <c r="V62" i="2" s="1"/>
  <c r="AD62" i="2" s="1"/>
  <c r="AG95" i="17"/>
  <c r="U105" i="17"/>
  <c r="L113" i="17" s="1"/>
  <c r="N46" i="2"/>
  <c r="V46" i="2" s="1"/>
  <c r="AD46" i="2" s="1"/>
  <c r="V38" i="2"/>
  <c r="AD38" i="2" s="1"/>
  <c r="AD82" i="2"/>
  <c r="AD89" i="2" s="1"/>
  <c r="AC89" i="2"/>
  <c r="N11" i="2"/>
  <c r="V11" i="2" s="1"/>
  <c r="AD11" i="2" s="1"/>
  <c r="U11" i="2"/>
  <c r="AC11" i="2" s="1"/>
  <c r="AD90" i="2"/>
  <c r="AD97" i="2" s="1"/>
  <c r="AC97" i="2"/>
  <c r="V53" i="2"/>
  <c r="AD53" i="2" s="1"/>
  <c r="AC53" i="2"/>
  <c r="T57" i="2"/>
  <c r="AB57" i="2" s="1"/>
  <c r="N29" i="2"/>
  <c r="V29" i="2" s="1"/>
  <c r="AD29" i="2" s="1"/>
  <c r="U29" i="2"/>
  <c r="AC29" i="2" s="1"/>
  <c r="M21" i="2"/>
  <c r="T21" i="2"/>
  <c r="AB21" i="2" s="1"/>
  <c r="AC68" i="2"/>
  <c r="V68" i="2"/>
  <c r="AD68" i="2" s="1"/>
  <c r="V66" i="2"/>
  <c r="AC66" i="2"/>
  <c r="U73" i="2"/>
  <c r="AC73" i="2" s="1"/>
  <c r="V50" i="2"/>
  <c r="AC50" i="2"/>
  <c r="V60" i="2"/>
  <c r="AD60" i="2" s="1"/>
  <c r="AC60" i="2"/>
  <c r="AA89" i="17"/>
  <c r="U54" i="2"/>
  <c r="AC54" i="2" s="1"/>
  <c r="AG92" i="17"/>
  <c r="N13" i="2"/>
  <c r="V13" i="2" s="1"/>
  <c r="AD13" i="2" s="1"/>
  <c r="U13" i="2"/>
  <c r="AC13" i="2" s="1"/>
  <c r="N28" i="2"/>
  <c r="V28" i="2" s="1"/>
  <c r="AD28" i="2" s="1"/>
  <c r="U28" i="2"/>
  <c r="AC28" i="2" s="1"/>
  <c r="L20" i="2"/>
  <c r="L53" i="2" s="1"/>
  <c r="L63" i="2" s="1"/>
  <c r="S20" i="2"/>
  <c r="AA20" i="2" s="1"/>
  <c r="N37" i="2"/>
  <c r="V37" i="2" s="1"/>
  <c r="AD37" i="2" s="1"/>
  <c r="U37" i="2"/>
  <c r="AC37" i="2" s="1"/>
  <c r="AC58" i="2"/>
  <c r="V58" i="2"/>
  <c r="U65" i="2"/>
  <c r="AC65" i="2" s="1"/>
  <c r="V52" i="2"/>
  <c r="AD52" i="2" s="1"/>
  <c r="AC52" i="2"/>
  <c r="M12" i="2"/>
  <c r="M17" i="2" s="1"/>
  <c r="T12" i="2"/>
  <c r="M44" i="2"/>
  <c r="T44" i="2"/>
  <c r="AB44" i="2" s="1"/>
  <c r="N36" i="2"/>
  <c r="V36" i="2" s="1"/>
  <c r="AD36" i="2" s="1"/>
  <c r="U36" i="2"/>
  <c r="AC36" i="2" s="1"/>
  <c r="M45" i="2"/>
  <c r="T45" i="2"/>
  <c r="AB45" i="2" s="1"/>
  <c r="AC61" i="2"/>
  <c r="V61" i="2"/>
  <c r="AD61" i="2" s="1"/>
  <c r="Z33" i="2"/>
  <c r="AG69" i="17"/>
  <c r="AI88" i="17"/>
  <c r="AK62" i="17"/>
  <c r="AK82" i="17" s="1"/>
  <c r="AK81" i="17"/>
  <c r="AG75" i="17"/>
  <c r="V70" i="2" s="1"/>
  <c r="AD70" i="2" s="1"/>
  <c r="AI62" i="17"/>
  <c r="AI82" i="17" s="1"/>
  <c r="AI81" i="17"/>
  <c r="U76" i="17"/>
  <c r="L112" i="17" s="1"/>
  <c r="AI51" i="17"/>
  <c r="AG52" i="17" s="1"/>
  <c r="N30" i="2" s="1"/>
  <c r="V30" i="2" s="1"/>
  <c r="AD30" i="2" s="1"/>
  <c r="AA63" i="17"/>
  <c r="AA56" i="17"/>
  <c r="M111" i="17" s="1"/>
  <c r="L49" i="2"/>
  <c r="T49" i="2" s="1"/>
  <c r="AB49" i="2" s="1"/>
  <c r="M42" i="2"/>
  <c r="U42" i="2" s="1"/>
  <c r="AC42" i="2" s="1"/>
  <c r="L41" i="2"/>
  <c r="T41" i="2" s="1"/>
  <c r="AB41" i="2" s="1"/>
  <c r="M34" i="2"/>
  <c r="U34" i="2" s="1"/>
  <c r="AC34" i="2" s="1"/>
  <c r="N26" i="2"/>
  <c r="V26" i="2" s="1"/>
  <c r="AD26" i="2" s="1"/>
  <c r="L19" i="2"/>
  <c r="T19" i="2" s="1"/>
  <c r="AB19" i="2" s="1"/>
  <c r="K25" i="2"/>
  <c r="S25" i="2" s="1"/>
  <c r="AA25" i="2" s="1"/>
  <c r="L27" i="2"/>
  <c r="T27" i="2" s="1"/>
  <c r="AB27" i="2" s="1"/>
  <c r="K33" i="2"/>
  <c r="S33" i="2" s="1"/>
  <c r="AA33" i="2" s="1"/>
  <c r="N10" i="2"/>
  <c r="AB52" i="1"/>
  <c r="O51" i="1"/>
  <c r="O50" i="1"/>
  <c r="O48" i="1"/>
  <c r="O47" i="1"/>
  <c r="O46" i="1"/>
  <c r="O49" i="1"/>
  <c r="S51" i="1"/>
  <c r="S50" i="1"/>
  <c r="S48" i="1"/>
  <c r="S47" i="1"/>
  <c r="S46" i="1"/>
  <c r="S49" i="1"/>
  <c r="V25" i="1"/>
  <c r="V20" i="1"/>
  <c r="G25" i="13" s="1"/>
  <c r="V22" i="1"/>
  <c r="G27" i="13" s="1"/>
  <c r="V23" i="1"/>
  <c r="G28" i="13" s="1"/>
  <c r="V24" i="1"/>
  <c r="V21" i="1"/>
  <c r="G26" i="13" s="1"/>
  <c r="J59" i="2" l="1"/>
  <c r="D20" i="12" s="1"/>
  <c r="N18" i="2"/>
  <c r="V18" i="2" s="1"/>
  <c r="AD18" i="2" s="1"/>
  <c r="Z100" i="2"/>
  <c r="Z102" i="2" s="1"/>
  <c r="S76" i="2"/>
  <c r="AB12" i="2"/>
  <c r="S77" i="2"/>
  <c r="K64" i="2" s="1"/>
  <c r="AA101" i="2"/>
  <c r="K65" i="2" s="1"/>
  <c r="U17" i="2"/>
  <c r="K52" i="2"/>
  <c r="K59" i="2" s="1"/>
  <c r="AA17" i="2"/>
  <c r="AB17" i="2"/>
  <c r="AD66" i="2"/>
  <c r="V73" i="2"/>
  <c r="AD73" i="2" s="1"/>
  <c r="N45" i="2"/>
  <c r="V45" i="2" s="1"/>
  <c r="AD45" i="2" s="1"/>
  <c r="U45" i="2"/>
  <c r="AC45" i="2" s="1"/>
  <c r="N44" i="2"/>
  <c r="V44" i="2" s="1"/>
  <c r="AD44" i="2" s="1"/>
  <c r="U44" i="2"/>
  <c r="AC44" i="2" s="1"/>
  <c r="U57" i="2"/>
  <c r="AC57" i="2" s="1"/>
  <c r="AG89" i="17"/>
  <c r="V54" i="2"/>
  <c r="AD54" i="2" s="1"/>
  <c r="N12" i="2"/>
  <c r="U12" i="2"/>
  <c r="V65" i="2"/>
  <c r="AD65" i="2" s="1"/>
  <c r="AD58" i="2"/>
  <c r="AD50" i="2"/>
  <c r="N21" i="2"/>
  <c r="V21" i="2" s="1"/>
  <c r="AD21" i="2" s="1"/>
  <c r="U21" i="2"/>
  <c r="AC21" i="2" s="1"/>
  <c r="V10" i="2"/>
  <c r="AD10" i="2" s="1"/>
  <c r="M20" i="2"/>
  <c r="M53" i="2" s="1"/>
  <c r="M63" i="2" s="1"/>
  <c r="T20" i="2"/>
  <c r="AB20" i="2" s="1"/>
  <c r="J54" i="2"/>
  <c r="R78" i="2"/>
  <c r="AA76" i="17"/>
  <c r="M112" i="17" s="1"/>
  <c r="AA83" i="17"/>
  <c r="AA105" i="17" s="1"/>
  <c r="M113" i="17" s="1"/>
  <c r="AG63" i="17"/>
  <c r="AG56" i="17"/>
  <c r="N111" i="17" s="1"/>
  <c r="N34" i="2"/>
  <c r="M41" i="2"/>
  <c r="U41" i="2" s="1"/>
  <c r="AC41" i="2" s="1"/>
  <c r="M27" i="2"/>
  <c r="U27" i="2" s="1"/>
  <c r="AC27" i="2" s="1"/>
  <c r="L33" i="2"/>
  <c r="T33" i="2" s="1"/>
  <c r="AB33" i="2" s="1"/>
  <c r="M19" i="2"/>
  <c r="U19" i="2" s="1"/>
  <c r="AC19" i="2" s="1"/>
  <c r="L25" i="2"/>
  <c r="M49" i="2"/>
  <c r="U49" i="2" s="1"/>
  <c r="AC49" i="2" s="1"/>
  <c r="N42" i="2"/>
  <c r="N20" i="1"/>
  <c r="E25" i="13" s="1"/>
  <c r="N25" i="1"/>
  <c r="N23" i="1"/>
  <c r="E28" i="13" s="1"/>
  <c r="N24" i="1"/>
  <c r="N21" i="1"/>
  <c r="E26" i="13" s="1"/>
  <c r="N22" i="1"/>
  <c r="E27" i="13" s="1"/>
  <c r="P25" i="1"/>
  <c r="P20" i="1"/>
  <c r="P23" i="1"/>
  <c r="P24" i="1"/>
  <c r="P21" i="1"/>
  <c r="P22" i="1"/>
  <c r="R25" i="1"/>
  <c r="R20" i="1"/>
  <c r="F25" i="13" s="1"/>
  <c r="R22" i="1"/>
  <c r="F27" i="13" s="1"/>
  <c r="R23" i="1"/>
  <c r="F28" i="13" s="1"/>
  <c r="R24" i="1"/>
  <c r="R21" i="1"/>
  <c r="F26" i="13" s="1"/>
  <c r="J25" i="1"/>
  <c r="D25" i="13"/>
  <c r="J23" i="1"/>
  <c r="D28" i="13" s="1"/>
  <c r="J22" i="1"/>
  <c r="D27" i="13" s="1"/>
  <c r="J21" i="1"/>
  <c r="D26" i="13" s="1"/>
  <c r="J24" i="1"/>
  <c r="L25" i="1"/>
  <c r="L20" i="1"/>
  <c r="L23" i="1"/>
  <c r="L22" i="1"/>
  <c r="L21" i="1"/>
  <c r="L24" i="1"/>
  <c r="H23" i="1"/>
  <c r="H24" i="1"/>
  <c r="H21" i="1"/>
  <c r="H22" i="1"/>
  <c r="D19" i="13" l="1"/>
  <c r="AC17" i="2"/>
  <c r="T77" i="2"/>
  <c r="L64" i="2" s="1"/>
  <c r="AC12" i="2"/>
  <c r="AB101" i="2"/>
  <c r="L65" i="2" s="1"/>
  <c r="L52" i="2"/>
  <c r="L59" i="2" s="1"/>
  <c r="E20" i="12"/>
  <c r="E19" i="13"/>
  <c r="V12" i="2"/>
  <c r="T25" i="2"/>
  <c r="T76" i="2" s="1"/>
  <c r="N17" i="2"/>
  <c r="N49" i="2"/>
  <c r="V49" i="2" s="1"/>
  <c r="AD49" i="2" s="1"/>
  <c r="V42" i="2"/>
  <c r="AD42" i="2" s="1"/>
  <c r="N20" i="2"/>
  <c r="V20" i="2" s="1"/>
  <c r="AD20" i="2" s="1"/>
  <c r="U20" i="2"/>
  <c r="AC20" i="2" s="1"/>
  <c r="V57" i="2"/>
  <c r="AD57" i="2" s="1"/>
  <c r="N41" i="2"/>
  <c r="V41" i="2" s="1"/>
  <c r="AD41" i="2" s="1"/>
  <c r="V34" i="2"/>
  <c r="AD34" i="2" s="1"/>
  <c r="S78" i="2"/>
  <c r="K54" i="2"/>
  <c r="D20" i="13"/>
  <c r="D21" i="12"/>
  <c r="D48" i="15" s="1"/>
  <c r="AG76" i="17"/>
  <c r="N112" i="17" s="1"/>
  <c r="AG83" i="17"/>
  <c r="AG105" i="17" s="1"/>
  <c r="N113" i="17" s="1"/>
  <c r="N19" i="2"/>
  <c r="M25" i="2"/>
  <c r="N27" i="2"/>
  <c r="M33" i="2"/>
  <c r="U33" i="2" s="1"/>
  <c r="AC33" i="2" s="1"/>
  <c r="F19" i="13" l="1"/>
  <c r="F20" i="12"/>
  <c r="U77" i="2"/>
  <c r="M64" i="2" s="1"/>
  <c r="AD12" i="2"/>
  <c r="AD101" i="2" s="1"/>
  <c r="N65" i="2" s="1"/>
  <c r="V77" i="2"/>
  <c r="N64" i="2" s="1"/>
  <c r="AC101" i="2"/>
  <c r="M65" i="2" s="1"/>
  <c r="M52" i="2"/>
  <c r="M59" i="2" s="1"/>
  <c r="G20" i="12" s="1"/>
  <c r="N53" i="2"/>
  <c r="N63" i="2" s="1"/>
  <c r="V17" i="2"/>
  <c r="U25" i="2"/>
  <c r="U76" i="2" s="1"/>
  <c r="AB25" i="2"/>
  <c r="T78" i="2"/>
  <c r="N33" i="2"/>
  <c r="V33" i="2" s="1"/>
  <c r="AD33" i="2" s="1"/>
  <c r="V27" i="2"/>
  <c r="AD27" i="2" s="1"/>
  <c r="N25" i="2"/>
  <c r="V25" i="2" s="1"/>
  <c r="AD25" i="2" s="1"/>
  <c r="V19" i="2"/>
  <c r="AD19" i="2" s="1"/>
  <c r="L54" i="2"/>
  <c r="AA81" i="2"/>
  <c r="T24" i="1"/>
  <c r="T21" i="1"/>
  <c r="T22" i="1"/>
  <c r="T23" i="1"/>
  <c r="T20" i="1"/>
  <c r="T25" i="1"/>
  <c r="V76" i="2" l="1"/>
  <c r="V78" i="2" s="1"/>
  <c r="AB100" i="2"/>
  <c r="AB102" i="2" s="1"/>
  <c r="AA100" i="2"/>
  <c r="AA102" i="2" s="1"/>
  <c r="E20" i="13" s="1"/>
  <c r="N52" i="2"/>
  <c r="N59" i="2" s="1"/>
  <c r="G19" i="13"/>
  <c r="E21" i="12"/>
  <c r="E48" i="15" s="1"/>
  <c r="AC25" i="2"/>
  <c r="U78" i="2"/>
  <c r="AD17" i="2"/>
  <c r="F21" i="12"/>
  <c r="F48" i="15" s="1"/>
  <c r="F20" i="13"/>
  <c r="M54" i="2"/>
  <c r="D22" i="12"/>
  <c r="D49" i="15" s="1"/>
  <c r="AD100" i="2" l="1"/>
  <c r="AD102" i="2" s="1"/>
  <c r="H20" i="12"/>
  <c r="H47" i="15" s="1"/>
  <c r="H19" i="13"/>
  <c r="E22" i="12"/>
  <c r="E49" i="15" s="1"/>
  <c r="N54" i="2"/>
  <c r="F22" i="12"/>
  <c r="F49" i="15" s="1"/>
  <c r="H20" i="13"/>
  <c r="H21" i="12"/>
  <c r="AC81" i="2"/>
  <c r="E47" i="15"/>
  <c r="D47" i="15"/>
  <c r="F47" i="15"/>
  <c r="G47" i="15"/>
  <c r="AC100" i="2" l="1"/>
  <c r="AC102" i="2" s="1"/>
  <c r="H22" i="12"/>
  <c r="H49" i="15" s="1"/>
  <c r="G21" i="12"/>
  <c r="G22" i="12" s="1"/>
  <c r="G49" i="15" s="1"/>
  <c r="G20" i="13"/>
  <c r="H48" i="15"/>
  <c r="E59" i="12"/>
  <c r="D59" i="12"/>
  <c r="F59" i="12"/>
  <c r="G48" i="15" l="1"/>
  <c r="H59" i="12"/>
  <c r="G59" i="12"/>
  <c r="I13" i="4"/>
  <c r="I18" i="4" l="1"/>
  <c r="H20" i="4"/>
  <c r="I20" i="4" s="1"/>
  <c r="N64" i="4" l="1"/>
  <c r="I22" i="4"/>
  <c r="I25" i="4" s="1"/>
  <c r="D42" i="4" s="1"/>
  <c r="D35" i="4" l="1"/>
  <c r="I46" i="4"/>
  <c r="D34" i="4" s="1"/>
  <c r="D36" i="4" l="1"/>
  <c r="D12" i="13"/>
  <c r="D13" i="12"/>
  <c r="D14" i="12" l="1"/>
  <c r="D15" i="12" s="1"/>
  <c r="H15" i="12" s="1"/>
  <c r="D13" i="13"/>
  <c r="D14" i="13" s="1"/>
  <c r="D15" i="13" s="1"/>
  <c r="D41" i="15" l="1"/>
  <c r="H21" i="13"/>
  <c r="H22" i="13" s="1"/>
  <c r="H34" i="13" s="1"/>
  <c r="E21" i="13"/>
  <c r="E22" i="13" s="1"/>
  <c r="E36" i="13" s="1"/>
  <c r="E53" i="13" s="1"/>
  <c r="F21" i="13"/>
  <c r="F22" i="13" s="1"/>
  <c r="F36" i="13" s="1"/>
  <c r="F53" i="13" s="1"/>
  <c r="D21" i="13"/>
  <c r="D22" i="13" s="1"/>
  <c r="D35" i="13" s="1"/>
  <c r="D52" i="13" s="1"/>
  <c r="G21" i="13"/>
  <c r="G22" i="13" s="1"/>
  <c r="G35" i="13" s="1"/>
  <c r="G52" i="13" s="1"/>
  <c r="G62" i="13" s="1"/>
  <c r="H65" i="12"/>
  <c r="E65" i="12"/>
  <c r="D65" i="12"/>
  <c r="G65" i="12"/>
  <c r="F65" i="12"/>
  <c r="H36" i="13" l="1"/>
  <c r="H53" i="13" s="1"/>
  <c r="H35" i="13"/>
  <c r="H52" i="13" s="1"/>
  <c r="H62" i="13" s="1"/>
  <c r="H92" i="13" s="1"/>
  <c r="H33" i="13"/>
  <c r="H50" i="13" s="1"/>
  <c r="E33" i="13"/>
  <c r="E50" i="13" s="1"/>
  <c r="E35" i="13"/>
  <c r="E52" i="13" s="1"/>
  <c r="E62" i="13" s="1"/>
  <c r="E38" i="12" s="1"/>
  <c r="E34" i="13"/>
  <c r="E61" i="13" s="1"/>
  <c r="F35" i="13"/>
  <c r="F52" i="13" s="1"/>
  <c r="F62" i="13" s="1"/>
  <c r="F92" i="13" s="1"/>
  <c r="F34" i="13"/>
  <c r="F61" i="13" s="1"/>
  <c r="F33" i="13"/>
  <c r="F50" i="13" s="1"/>
  <c r="G36" i="13"/>
  <c r="G53" i="13" s="1"/>
  <c r="G34" i="13"/>
  <c r="G61" i="13" s="1"/>
  <c r="G33" i="13"/>
  <c r="G50" i="13" s="1"/>
  <c r="D33" i="13"/>
  <c r="D34" i="13"/>
  <c r="D36" i="13"/>
  <c r="D53" i="13" s="1"/>
  <c r="F63" i="13" s="1"/>
  <c r="H61" i="13"/>
  <c r="H51" i="13"/>
  <c r="G38" i="12"/>
  <c r="G92" i="13"/>
  <c r="F34" i="15"/>
  <c r="D62" i="13"/>
  <c r="E51" i="13" l="1"/>
  <c r="D50" i="13"/>
  <c r="D51" i="13"/>
  <c r="F38" i="12"/>
  <c r="E92" i="13"/>
  <c r="F51" i="13"/>
  <c r="H38" i="12"/>
  <c r="G51" i="13"/>
  <c r="D63" i="13"/>
  <c r="D39" i="12" s="1"/>
  <c r="G63" i="13"/>
  <c r="G93" i="13" s="1"/>
  <c r="G34" i="15"/>
  <c r="G38" i="15" s="1"/>
  <c r="H63" i="13"/>
  <c r="H93" i="13" s="1"/>
  <c r="E63" i="13"/>
  <c r="E39" i="12" s="1"/>
  <c r="D92" i="13"/>
  <c r="D38" i="12"/>
  <c r="F36" i="15"/>
  <c r="F38" i="15"/>
  <c r="F37" i="12"/>
  <c r="F91" i="13"/>
  <c r="H37" i="12"/>
  <c r="H91" i="13"/>
  <c r="F39" i="12"/>
  <c r="F93" i="13"/>
  <c r="G37" i="12"/>
  <c r="G91" i="13"/>
  <c r="E37" i="12"/>
  <c r="E91" i="13"/>
  <c r="E34" i="15" l="1"/>
  <c r="E38" i="15" s="1"/>
  <c r="D61" i="13"/>
  <c r="D37" i="12" s="1"/>
  <c r="D34" i="15"/>
  <c r="D38" i="15" s="1"/>
  <c r="E60" i="13"/>
  <c r="E90" i="13" s="1"/>
  <c r="F60" i="13"/>
  <c r="F90" i="13" s="1"/>
  <c r="G60" i="13"/>
  <c r="G90" i="13" s="1"/>
  <c r="H60" i="13"/>
  <c r="D60" i="13"/>
  <c r="D36" i="12" s="1"/>
  <c r="E93" i="13"/>
  <c r="G36" i="15"/>
  <c r="G39" i="12"/>
  <c r="D93" i="13"/>
  <c r="H39" i="12"/>
  <c r="D42" i="12" l="1"/>
  <c r="D57" i="12" s="1"/>
  <c r="D61" i="12" s="1"/>
  <c r="D66" i="12" s="1"/>
  <c r="D91" i="13"/>
  <c r="E36" i="15"/>
  <c r="E36" i="12"/>
  <c r="E42" i="12" s="1"/>
  <c r="E57" i="12" s="1"/>
  <c r="E61" i="12" s="1"/>
  <c r="E66" i="12" s="1"/>
  <c r="E67" i="12" s="1"/>
  <c r="H90" i="13"/>
  <c r="H36" i="12"/>
  <c r="H42" i="12" s="1"/>
  <c r="H57" i="12" s="1"/>
  <c r="H61" i="12" s="1"/>
  <c r="H66" i="12" s="1"/>
  <c r="D90" i="13"/>
  <c r="F36" i="12"/>
  <c r="F42" i="12" s="1"/>
  <c r="F57" i="12" s="1"/>
  <c r="F61" i="12" s="1"/>
  <c r="F66" i="12" s="1"/>
  <c r="F67" i="12" s="1"/>
  <c r="G36" i="12"/>
  <c r="G42" i="12" s="1"/>
  <c r="G57" i="12" s="1"/>
  <c r="G61" i="12" s="1"/>
  <c r="G66" i="12" s="1"/>
  <c r="D36" i="15"/>
  <c r="D67" i="12" l="1"/>
  <c r="H67" i="12"/>
  <c r="G67"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Ruben</author>
  </authors>
  <commentList>
    <comment ref="N20" authorId="0" shapeId="0" xr:uid="{CBFC0DD5-A1FC-4B17-AAEB-6908548F0DC5}">
      <text>
        <r>
          <rPr>
            <sz val="16"/>
            <color rgb="FF000000"/>
            <rFont val="Tahoma"/>
            <family val="2"/>
          </rPr>
          <t>As the transport is a critical factor of the Handling Costs , we would calculate the Fee of each type of container based on the % of weight and would divide the quantity between the number of bottles</t>
        </r>
      </text>
    </comment>
    <comment ref="R20" authorId="0" shapeId="0" xr:uid="{7E684008-10C3-42B4-A78E-79DAAB5C578F}">
      <text>
        <r>
          <rPr>
            <sz val="16"/>
            <color rgb="FF000000"/>
            <rFont val="Tahoma"/>
            <family val="2"/>
          </rPr>
          <t>As the transport is a critical factor of the Handling Costs , we would calculate the Fee of each type of container based on the % of weight and would divide the quantity between the number of bottles</t>
        </r>
      </text>
    </comment>
    <comment ref="V20" authorId="0" shapeId="0" xr:uid="{7E2D386B-A81B-4DEE-B534-B3D9D7EC6594}">
      <text>
        <r>
          <rPr>
            <sz val="16"/>
            <color rgb="FF000000"/>
            <rFont val="Tahoma"/>
            <family val="2"/>
          </rPr>
          <t>As the transport is a critical factor of the Handling Costs , we would calculate the Fee of each type of container based on the % of weight and would divide the quantity between the number of bottles</t>
        </r>
      </text>
    </comment>
    <comment ref="Z20" authorId="0" shapeId="0" xr:uid="{132E86FD-D1F5-451E-8C59-A54270B376E2}">
      <text>
        <r>
          <rPr>
            <sz val="16"/>
            <color rgb="FF000000"/>
            <rFont val="Tahoma"/>
            <family val="2"/>
          </rPr>
          <t>As the transport is a critical factor of the Handling Costs , we would calculate the Fee of each type of container based on the % of weight and would divide the quantity between the number of bottles</t>
        </r>
      </text>
    </comment>
    <comment ref="G33" authorId="0" shapeId="0" xr:uid="{4EF4FC15-4BC3-4CC6-80BC-3E32186813BD}">
      <text>
        <r>
          <rPr>
            <sz val="16"/>
            <color rgb="FF000000"/>
            <rFont val="Tahoma"/>
            <family val="2"/>
          </rPr>
          <t>As the transport is a critical factor of the Handling Costs , we would calculate the Fee of each type of container based on the % of weight and would divide the quantity between the number of bottles</t>
        </r>
      </text>
    </comment>
    <comment ref="K33" authorId="0" shapeId="0" xr:uid="{36C80724-8201-4969-B72F-56F57DFD18FD}">
      <text>
        <r>
          <rPr>
            <sz val="16"/>
            <color rgb="FF000000"/>
            <rFont val="Tahoma"/>
            <family val="2"/>
          </rPr>
          <t>As the transport is a critical factor of the Handling Costs , we would calculate the Fee of each type of container based on the % of weight and would divide the quantity between the number of bottles</t>
        </r>
      </text>
    </comment>
    <comment ref="O33" authorId="0" shapeId="0" xr:uid="{53DC896E-F036-4E55-BAF5-BCF44F41BED9}">
      <text>
        <r>
          <rPr>
            <sz val="16"/>
            <color rgb="FF000000"/>
            <rFont val="Tahoma"/>
            <family val="2"/>
          </rPr>
          <t>As the transport is a critical factor of the Handling Costs , we would calculate the Fee of each type of container based on the % of weight and would divide the quantity between the number of bottles</t>
        </r>
      </text>
    </comment>
    <comment ref="S33" authorId="0" shapeId="0" xr:uid="{7ACB8BDD-BC8A-4925-829D-049A1335EF0B}">
      <text>
        <r>
          <rPr>
            <sz val="16"/>
            <color rgb="FF000000"/>
            <rFont val="Tahoma"/>
            <family val="2"/>
          </rPr>
          <t>As the transport is a critical factor of the Handling Costs , we would calculate the Fee of each type of container based on the % of weight and would divide the quantity between the number of bottles</t>
        </r>
      </text>
    </comment>
    <comment ref="W33" authorId="0" shapeId="0" xr:uid="{F4C2B556-3FAF-4197-8666-6C7A66BF7DF1}">
      <text>
        <r>
          <rPr>
            <sz val="16"/>
            <color rgb="FF000000"/>
            <rFont val="Tahoma"/>
            <family val="2"/>
          </rPr>
          <t>As the transport is a critical factor of the Handling Costs , we would calculate the Fee of each type of container based on the % of weight and would divide the quantity between the number of bottles</t>
        </r>
      </text>
    </comment>
  </commentList>
</comments>
</file>

<file path=xl/sharedStrings.xml><?xml version="1.0" encoding="utf-8"?>
<sst xmlns="http://schemas.openxmlformats.org/spreadsheetml/2006/main" count="1484" uniqueCount="417">
  <si>
    <t>SCENARIO - 1</t>
  </si>
  <si>
    <t>SCENARIO - 2</t>
  </si>
  <si>
    <t>SCENARIO - 3</t>
  </si>
  <si>
    <t>Provence</t>
  </si>
  <si>
    <t>Location</t>
  </si>
  <si>
    <t># collection points</t>
  </si>
  <si>
    <t xml:space="preserve"># trucks </t>
  </si>
  <si>
    <t>PSS model</t>
  </si>
  <si>
    <t>Effectiveness of PSS</t>
  </si>
  <si>
    <t>SCENARIO</t>
  </si>
  <si>
    <t>ESTIMATED 'RETURN RATE' BY YEAR</t>
  </si>
  <si>
    <t>YEAR 1</t>
  </si>
  <si>
    <t>YEAR 2</t>
  </si>
  <si>
    <t>YEAR 3</t>
  </si>
  <si>
    <t>YEAR 4</t>
  </si>
  <si>
    <t>YEAR 5</t>
  </si>
  <si>
    <t>9 Depots + 3 big Trucks, 5 small trucks/vans</t>
  </si>
  <si>
    <t>YES</t>
  </si>
  <si>
    <t>ESTIMATED  NUMBER OF BEVERAGE CONTAINERS PUT ON THE MARKET (units)</t>
  </si>
  <si>
    <t>NO</t>
  </si>
  <si>
    <t>TOTAL</t>
  </si>
  <si>
    <t>ONLY RECYCLABLES</t>
  </si>
  <si>
    <t>INFLATION RATE</t>
  </si>
  <si>
    <t>PET</t>
  </si>
  <si>
    <t>GLASS</t>
  </si>
  <si>
    <t>ALUMINIUM CANS</t>
  </si>
  <si>
    <t>INCLUDE COSTS OF THE PROCESSING FACILITIES ?</t>
  </si>
  <si>
    <t>OTHER</t>
  </si>
  <si>
    <t>BEVERAGE CONTAINERS COLLECTED (units)</t>
  </si>
  <si>
    <t>PSS financing</t>
  </si>
  <si>
    <t>FEES</t>
  </si>
  <si>
    <t>PET BOTTLE</t>
  </si>
  <si>
    <t>GLASS BOTTLE</t>
  </si>
  <si>
    <t>ALUMINIUM CAN</t>
  </si>
  <si>
    <t>1 - HANDLING FEE</t>
  </si>
  <si>
    <t>2 - PENALTY FEE</t>
  </si>
  <si>
    <t>1 + 2</t>
  </si>
  <si>
    <t>PSS FEE (TOTAL 1+2=3)</t>
  </si>
  <si>
    <t>ENVIRONMENTAL IMPACT (kilograms)</t>
  </si>
  <si>
    <t>YEAR</t>
  </si>
  <si>
    <t>INITIAL INVESTMENT COSTS</t>
  </si>
  <si>
    <t>TOTAL INVESTMENT</t>
  </si>
  <si>
    <t>TONNES OF CONTAINERS IN THE LANDFILL USING THE SCHEME</t>
  </si>
  <si>
    <t>OPERATIONAL COSTS OF THE SCHEME</t>
  </si>
  <si>
    <t>1-Processing and Storing Facilities</t>
  </si>
  <si>
    <t>2-Collection Costs</t>
  </si>
  <si>
    <t>B - Handling Costs (1+2)</t>
  </si>
  <si>
    <t>NET RESULT OF THE PROJECT</t>
  </si>
  <si>
    <t>ENVIROMENTAL ECONOMIC IMPACT (SBD/year)</t>
  </si>
  <si>
    <t>AVOIDED LIETTER AND WASTE MANAGEMENT - COST SAVINGS</t>
  </si>
  <si>
    <t>ECONOMIC BENEFITS OF RECYCLING VS LANDFILL</t>
  </si>
  <si>
    <t>CARBON FOOTPRINT SAVINGS</t>
  </si>
  <si>
    <t>Average Container Weight in Kilograms</t>
  </si>
  <si>
    <t>EXPECTED INCREMENT OF CONTAINERS PER YEAR AND TYPE</t>
  </si>
  <si>
    <t>ALU</t>
  </si>
  <si>
    <t>CONTAINER DATA</t>
  </si>
  <si>
    <t>NUMBER OF CONTAINERS IMPORTED / MANUFACTURED EVERY YEAR</t>
  </si>
  <si>
    <t>TYPE OF CONTAINER</t>
  </si>
  <si>
    <t>KILOGRAMS</t>
  </si>
  <si>
    <t>Nº BOTTLES</t>
  </si>
  <si>
    <t>% Cont.</t>
  </si>
  <si>
    <t>% Kg</t>
  </si>
  <si>
    <t>ALUMINIUM</t>
  </si>
  <si>
    <t>COLLECTED CONTAINERS</t>
  </si>
  <si>
    <t>NUMBER OF CONTAINERS COLLECTED BY THE SYSTEM EVERY YEAR</t>
  </si>
  <si>
    <t>NON COLLECTED CONTAINERS</t>
  </si>
  <si>
    <t>NUMBER OF CONTAINERS NON COLLECTED BY THE SYSTEM EVERY YEAR</t>
  </si>
  <si>
    <t>TOTAL RECOVERED</t>
  </si>
  <si>
    <t>TOTAL NON RECOVERED</t>
  </si>
  <si>
    <t>SCENARIO
"RETURN RATE"</t>
  </si>
  <si>
    <t>FINAL RETURN RATE</t>
  </si>
  <si>
    <t>5 Depots + 3 big trucks, 2 small trucks/vans</t>
  </si>
  <si>
    <t>RETURN
RATE*</t>
  </si>
  <si>
    <t>RETURN RATE</t>
  </si>
  <si>
    <t>12  Depots + 3 big trucks, 8 small trucks/vans</t>
  </si>
  <si>
    <t>RETURN RATE of the SCENARIO SELECTED</t>
  </si>
  <si>
    <t>RETURN RATE of the DEPOSIT FEE SELECTED</t>
  </si>
  <si>
    <t xml:space="preserve">Economic benefits of recycling vs landfill (SBD/tonne) 		</t>
  </si>
  <si>
    <t>FINAL RETURN RATE 2024</t>
  </si>
  <si>
    <t xml:space="preserve">Carbon footprint savings (SBD/tonne) 		</t>
  </si>
  <si>
    <t>*source: https://www.reloopplatform.org/wp-content/uploads/2023/05/RELOOP_Factsheet_Performance_May2024_Web.pdf</t>
  </si>
  <si>
    <t>https://www.reloopplatform.org/wp-content/uploads/2023/05/RELOOP_Factsheet_Performance_May2024_Web.pdf</t>
  </si>
  <si>
    <t>EXPECTED 'RETURN RATE' INCREMENT BY YEAR, due to the educational campaigns, etc.</t>
  </si>
  <si>
    <t>RETURN RATE BY YEAR</t>
  </si>
  <si>
    <t>LANDFILL TAX</t>
  </si>
  <si>
    <t># Depots</t>
  </si>
  <si>
    <t>Return rate</t>
  </si>
  <si>
    <t>Return rate assumptions</t>
  </si>
  <si>
    <t>With trucks
With trucks: 45% collection rate</t>
  </si>
  <si>
    <t xml:space="preserve">Without trucks
</t>
  </si>
  <si>
    <t>Beverage containers distributions</t>
  </si>
  <si>
    <t>TOT</t>
  </si>
  <si>
    <t>EQUIPMENT PRICES</t>
  </si>
  <si>
    <t>CONCEPT</t>
  </si>
  <si>
    <t>PRICE</t>
  </si>
  <si>
    <t>SCENARIO 1</t>
  </si>
  <si>
    <t>SCENARIO 2</t>
  </si>
  <si>
    <t>SCENARIO 3</t>
  </si>
  <si>
    <t>SEA CONTAINER (BASIC SETUP)</t>
  </si>
  <si>
    <t>PLACE</t>
  </si>
  <si>
    <t>ITEM</t>
  </si>
  <si>
    <t>Numb</t>
  </si>
  <si>
    <t>GLASS CRUSHER</t>
  </si>
  <si>
    <t>MINI-BALER (PET)</t>
  </si>
  <si>
    <t>CRUSHER (ALU)</t>
  </si>
  <si>
    <t>AIR COMPRESSOR</t>
  </si>
  <si>
    <t>BIG TRUCK</t>
  </si>
  <si>
    <t>SMALL TRUCK / VAN</t>
  </si>
  <si>
    <t>ADMINISTRATION INITIAL INVESTMENT</t>
  </si>
  <si>
    <t>New or upgraded systems /software</t>
  </si>
  <si>
    <t>Any external advice or auditing</t>
  </si>
  <si>
    <t>LEGACY WASTE FUND</t>
  </si>
  <si>
    <t>TOTAL ADMINISTRATION INVESTMENTS</t>
  </si>
  <si>
    <t>TOTAL INITIAL INVESTMENT</t>
  </si>
  <si>
    <t>COLLECTION INITIAL INVESTMENT</t>
  </si>
  <si>
    <t>VALUE</t>
  </si>
  <si>
    <t>SMALL TRUCK/VAN</t>
  </si>
  <si>
    <t>MAIN FACILITIES INITIAL INVESTMENT</t>
  </si>
  <si>
    <t>LEGACY CONTAINERS</t>
  </si>
  <si>
    <t>TOTAL HANDLING INVESTMENT</t>
  </si>
  <si>
    <t>PRICES</t>
  </si>
  <si>
    <t>1 person salary Year FULL TIME</t>
  </si>
  <si>
    <t>STAFF SALARIES (to process containers)</t>
  </si>
  <si>
    <t>Price 1liter petrol</t>
  </si>
  <si>
    <t>ENERGY COSTS (in kW/h per year to bale)</t>
  </si>
  <si>
    <t>Price 1KW/h</t>
  </si>
  <si>
    <t>DRIVER STAFF SALARIES</t>
  </si>
  <si>
    <t>TRUCK FUEL COSTS</t>
  </si>
  <si>
    <t>TRACK FUEL COSTS</t>
  </si>
  <si>
    <t>SHIPPING -  PROCESSING FACILITIES</t>
  </si>
  <si>
    <t>EQUIPMENT MAINTENANCE (balers, glass crusher)</t>
  </si>
  <si>
    <t>ADMINISTRATION COSTS (for provincial collection)</t>
  </si>
  <si>
    <t>STAFF REQUIRED TO PROCESS CONTAINERS</t>
  </si>
  <si>
    <t>N. of working weeks per year</t>
  </si>
  <si>
    <t>N. of working hours per week</t>
  </si>
  <si>
    <t xml:space="preserve">N. of staff </t>
  </si>
  <si>
    <t>Processed containers/day</t>
  </si>
  <si>
    <t>Processed containers/year</t>
  </si>
  <si>
    <t>Number of staff required to process the containers (per year)</t>
  </si>
  <si>
    <t>TOT Staff costs</t>
  </si>
  <si>
    <t xml:space="preserve"> </t>
  </si>
  <si>
    <t>TOT number of containers collected (per year)</t>
  </si>
  <si>
    <t>tonnes/year</t>
  </si>
  <si>
    <t xml:space="preserve">Number of staff per province/year </t>
  </si>
  <si>
    <t>TRANSPORT CONTAINERS ASSUMPTIONS</t>
  </si>
  <si>
    <t>DISTANCES (Km)</t>
  </si>
  <si>
    <t>Liters/100km</t>
  </si>
  <si>
    <t>Consume per Trip</t>
  </si>
  <si>
    <t>Cost per Trip</t>
  </si>
  <si>
    <t>Net Profit Exporting Aluminium</t>
  </si>
  <si>
    <t>Net Profit Exporting PET</t>
  </si>
  <si>
    <t>TOTAL COSTS COLLECTION AND PROCESSING</t>
  </si>
  <si>
    <t>TOTAL COST ADMINISTRATION SCENARIO - 1</t>
  </si>
  <si>
    <t>Tonnes/trip</t>
  </si>
  <si>
    <t>Containers/trip</t>
  </si>
  <si>
    <t>TOTAL trips/year</t>
  </si>
  <si>
    <t>MAIN PROCESSING FACILITIES</t>
  </si>
  <si>
    <t>Transport capacity (1 truck per trip)</t>
  </si>
  <si>
    <t>Number of containers to be transported per province</t>
  </si>
  <si>
    <t>Number of trips/working days truck drivers</t>
  </si>
  <si>
    <t>Driver staff required per province pe year</t>
  </si>
  <si>
    <t>HANDLING + ADMINISTRATION</t>
  </si>
  <si>
    <t>Number of trips scenario 1</t>
  </si>
  <si>
    <t>Number of trips scenario 2</t>
  </si>
  <si>
    <t>Number of trips scenario 3</t>
  </si>
  <si>
    <t>Tot Energy consumption</t>
  </si>
  <si>
    <t>kW/h/t</t>
  </si>
  <si>
    <t>kW/year</t>
  </si>
  <si>
    <t>TOTAL COST ADMINISTRATION SCENARIO - 2</t>
  </si>
  <si>
    <t xml:space="preserve">Energy costs </t>
  </si>
  <si>
    <t>2024 ADMINISTRATION COSTS (per year)</t>
  </si>
  <si>
    <t>Salaries Staff in Administration</t>
  </si>
  <si>
    <t>Software Programs</t>
  </si>
  <si>
    <t>Awareness Programs Expenses</t>
  </si>
  <si>
    <t>Audit and Report Expenses</t>
  </si>
  <si>
    <t>ADMINISTRATION MAINTENANCE COSTS</t>
  </si>
  <si>
    <t>ADMINISTRATIVE COSTS FOR RUNNING THE SCHEME</t>
  </si>
  <si>
    <t>Staff Salaries.     -    People Working in the Administration of the Scheme</t>
  </si>
  <si>
    <t>Software Programs Maintenance</t>
  </si>
  <si>
    <t>PUBLIC AWARENESS AND EDUCATION</t>
  </si>
  <si>
    <t>MONITORING AND EVALUATION</t>
  </si>
  <si>
    <t>TOTAL ADMINISTRATION MAINTENANCE COSTS</t>
  </si>
  <si>
    <t>BIG BAG CAPACITY</t>
  </si>
  <si>
    <t>2.5 M3</t>
  </si>
  <si>
    <t>SCENARIO SELECTED</t>
  </si>
  <si>
    <t>PET Bottles</t>
  </si>
  <si>
    <t>GLASS Bottles</t>
  </si>
  <si>
    <t>ALUMINIUM Cans</t>
  </si>
  <si>
    <t>TOTAL CONTAINERS RECOVERED</t>
  </si>
  <si>
    <t>CONTAINER RECOVERED PER ISLAND</t>
  </si>
  <si>
    <t>LOCATION</t>
  </si>
  <si>
    <t>POPULATION</t>
  </si>
  <si>
    <t>%</t>
  </si>
  <si>
    <t> </t>
  </si>
  <si>
    <t>BIG BAG INTERNAL SHIPMENT</t>
  </si>
  <si>
    <t>Population 3 main islands of the provinces</t>
  </si>
  <si>
    <t>SHIPMENT TO HONIARA</t>
  </si>
  <si>
    <t>INTERNAL SHIPMENT</t>
  </si>
  <si>
    <t>FEE</t>
  </si>
  <si>
    <t>The cost of providing robust recycling services, to cover shipping costs and infrastructure and equipment needs and the cost of operating collection depots</t>
  </si>
  <si>
    <t>COLLECTION SCHEME INITIAL INVESTMENT</t>
  </si>
  <si>
    <t>QUOTA Every Year (5 Years period return)</t>
  </si>
  <si>
    <t>MONEY EXPEND EVERY YEAR</t>
  </si>
  <si>
    <t>MAIN FACILITIES COSTS</t>
  </si>
  <si>
    <t>COLLECTION COSTS</t>
  </si>
  <si>
    <t>QUOTA INVESTMENT</t>
  </si>
  <si>
    <t>Proportion Containers Weight</t>
  </si>
  <si>
    <t>Proportional Cost by Type of Container</t>
  </si>
  <si>
    <t>Number of Containers per Year</t>
  </si>
  <si>
    <t>1 - HANDLING FEE ( WITHOUT THE PENALTY FEE)</t>
  </si>
  <si>
    <t>1 - HANDLING FEE (INCLUDED THE PENALTY FEE)</t>
  </si>
  <si>
    <t>Handling Fee by Type of Container</t>
  </si>
  <si>
    <t>2 - DEPOSIT FEE</t>
  </si>
  <si>
    <t>GLASS PENALTY FEE</t>
  </si>
  <si>
    <t>The amount to be paid to the Consumers on return of the target item to nominated depots. The refund amount has to be attractive to consumer to incentivize returns while balancing the overall financial viability of the scheme.</t>
  </si>
  <si>
    <t>OTHER PENALTY FEE</t>
  </si>
  <si>
    <t>PSS FEE (1+2)</t>
  </si>
  <si>
    <t>PSS FEE</t>
  </si>
  <si>
    <t>1+2</t>
  </si>
  <si>
    <t>MAIN FACILITIES INCLUDED</t>
  </si>
  <si>
    <t xml:space="preserve">MAIN FACILITIES INITIAL INVESTMENT	</t>
  </si>
  <si>
    <t>SYSTEM INITIAL INVESTMENT</t>
  </si>
  <si>
    <t>QUOTA 5 Years Period</t>
  </si>
  <si>
    <t>OPERATIONAL COST OF THE SCHEME</t>
  </si>
  <si>
    <t>COSTS - OPERATIONAL COSTS</t>
  </si>
  <si>
    <t>2 - Handling Costs</t>
  </si>
  <si>
    <t>Operational Costs (A+B) , TOTAL</t>
  </si>
  <si>
    <t>CLEAN &amp; WASTE DISPOSAL COST OF THE NON-RECOVERED CONTAINERS</t>
  </si>
  <si>
    <t>Non-Rec PENALTY FEE</t>
  </si>
  <si>
    <t>COSTS - LANDFILL</t>
  </si>
  <si>
    <t>HANDLING FEES</t>
  </si>
  <si>
    <t>INCOME - FEE INCOMES</t>
  </si>
  <si>
    <t>OPERATIONAL - PET BOTTLE</t>
  </si>
  <si>
    <t>OPERATIONAL - GLASS BOTTLE</t>
  </si>
  <si>
    <t>OPERATIONAL - ALUMINIUM CAN</t>
  </si>
  <si>
    <t>OPERATIONAL - OTHER</t>
  </si>
  <si>
    <t>NON-RECLAIMED DEPOSITS</t>
  </si>
  <si>
    <t>INCOME - NON-RECLAIMED DEPOSITS</t>
  </si>
  <si>
    <t>INCOMES</t>
  </si>
  <si>
    <t>EXPENSES</t>
  </si>
  <si>
    <t>Operational Costs (A+B), TOTAL</t>
  </si>
  <si>
    <t>LANDFILL COST</t>
  </si>
  <si>
    <t>NET OPERATIONAL RESULT</t>
  </si>
  <si>
    <t>INVESTMENT</t>
  </si>
  <si>
    <t>FINAL RESULT</t>
  </si>
  <si>
    <t>ENVIRONMENTAL OUTPUTS</t>
  </si>
  <si>
    <t>TOTAL ENVIROMENTAL ECONOMIC IMPACT (SBD/year)</t>
  </si>
  <si>
    <t>VALUE RAW MATERIALS FOR EXPORTATION per KILOGRAM</t>
  </si>
  <si>
    <t xml:space="preserve">REVENUES OF SELLING RECYCLED MATERIALS </t>
  </si>
  <si>
    <t>Income Aluminium Exported</t>
  </si>
  <si>
    <t>Total Cost of Shipment 20feet Containers Aluminium</t>
  </si>
  <si>
    <t>Net Profit Aluminium</t>
  </si>
  <si>
    <t>Income PET Exported</t>
  </si>
  <si>
    <t>Total Cost of Shipment 20feet Containers PET</t>
  </si>
  <si>
    <t>Net Profit PET</t>
  </si>
  <si>
    <t>BALES</t>
  </si>
  <si>
    <t>NUMBER OF BALES PER CONTAINER</t>
  </si>
  <si>
    <t>Weight (kilograms)</t>
  </si>
  <si>
    <t>20 FEET</t>
  </si>
  <si>
    <t>Number of PET Bottles in a Bale</t>
  </si>
  <si>
    <t>40 FEET</t>
  </si>
  <si>
    <t>Number of Aluminium CANS in a Bale</t>
  </si>
  <si>
    <t>EXTERNAL SHIPMENT DATA</t>
  </si>
  <si>
    <t>TOT COSTS EXTERNAL SHIPMENTS</t>
  </si>
  <si>
    <t>Shipment cost breakdown</t>
  </si>
  <si>
    <t>Number of PET Bottles in</t>
  </si>
  <si>
    <t>BALE</t>
  </si>
  <si>
    <t>COST per 20feet container to ALUMINIUM Facilities</t>
  </si>
  <si>
    <t>20 FEET CONTAINER</t>
  </si>
  <si>
    <t>Empty Container lift</t>
  </si>
  <si>
    <t>40 FEET CONTAINER</t>
  </si>
  <si>
    <t>Weight Bridge charge</t>
  </si>
  <si>
    <t>Number of CANS in</t>
  </si>
  <si>
    <t>Cost per 20feet container to PET Facilities</t>
  </si>
  <si>
    <t>Utilisation in/out</t>
  </si>
  <si>
    <t>Wharfage export*</t>
  </si>
  <si>
    <t>Handling export*</t>
  </si>
  <si>
    <t>Full Lift</t>
  </si>
  <si>
    <t>TOTAL NUMBER OF CONTAINERS EXPORTED BY YEAR AND TYPE OF MATERIAL AND COSTS ASSOCIATED (TOTAL)</t>
  </si>
  <si>
    <t>Additional penalty fee/storage**</t>
  </si>
  <si>
    <t>PET BOTTLES</t>
  </si>
  <si>
    <t>Number of PET Bottles Recovered</t>
  </si>
  <si>
    <t>Number of 20feet Containers</t>
  </si>
  <si>
    <t>Cost of Shipment 20feet Containers</t>
  </si>
  <si>
    <t>Number of CANS Recovered</t>
  </si>
  <si>
    <t>CRUSHER (ALU) HAND OPERATED</t>
  </si>
  <si>
    <t xml:space="preserve">MINI-BALER (PET) </t>
  </si>
  <si>
    <t>GLASS CRUSHER (SMALL SCALE)</t>
  </si>
  <si>
    <t>Rental 20ft container</t>
  </si>
  <si>
    <t>PET PENALTY FEE</t>
  </si>
  <si>
    <t>KILOGRAMS*</t>
  </si>
  <si>
    <t xml:space="preserve">DEPOSIT
</t>
  </si>
  <si>
    <t>Provence / Island</t>
  </si>
  <si>
    <t>Collection Location</t>
  </si>
  <si>
    <t>Province / Island A</t>
  </si>
  <si>
    <t>Province / Island B</t>
  </si>
  <si>
    <t>Province / Island C</t>
  </si>
  <si>
    <t>Province / Island D</t>
  </si>
  <si>
    <t>Province / Island E</t>
  </si>
  <si>
    <t>Province / Island F</t>
  </si>
  <si>
    <t>Province / Island G</t>
  </si>
  <si>
    <t>Province / Island H</t>
  </si>
  <si>
    <t>Province / Island I</t>
  </si>
  <si>
    <t xml:space="preserve">Indicate three Collection Depot scenarios you would like included in model </t>
  </si>
  <si>
    <t>CURRENT DATE</t>
  </si>
  <si>
    <t>Community A</t>
  </si>
  <si>
    <t>Community B</t>
  </si>
  <si>
    <t>Community C</t>
  </si>
  <si>
    <t>Community D</t>
  </si>
  <si>
    <t>Community E</t>
  </si>
  <si>
    <t>Community F</t>
  </si>
  <si>
    <t>Community G</t>
  </si>
  <si>
    <t>Community H</t>
  </si>
  <si>
    <t>Community I</t>
  </si>
  <si>
    <t>Community J</t>
  </si>
  <si>
    <t>Community K</t>
  </si>
  <si>
    <t xml:space="preserve">Population </t>
  </si>
  <si>
    <t>Community Names</t>
  </si>
  <si>
    <t>Consider 2x 20ft container, Delivery, Footings (Cement, block, rebar hook), Awning, Wheelbarrows / handcarts, Table and chair, Signs (6 per depot), Sacks / bulk-bags, Tiedowns</t>
  </si>
  <si>
    <t>example USD (enter in your own currency)</t>
  </si>
  <si>
    <t>Other</t>
  </si>
  <si>
    <t xml:space="preserve">Other </t>
  </si>
  <si>
    <t>EQUIPMENT INITIAL INVESTMENT</t>
  </si>
  <si>
    <t>HANDLING EXPENSES</t>
  </si>
  <si>
    <t>Community A and B</t>
  </si>
  <si>
    <t>DEPOSIT (per container)</t>
  </si>
  <si>
    <t>ADMINISTRATION COSTS (per year)</t>
  </si>
  <si>
    <t>People Working in the Administration of the Scheme</t>
  </si>
  <si>
    <t>3 - DEPOSIT</t>
  </si>
  <si>
    <t>COMMUNITY A</t>
  </si>
  <si>
    <t>COMMUNITY B</t>
  </si>
  <si>
    <t>COMMUNITY C</t>
  </si>
  <si>
    <t>COMMUNITY D</t>
  </si>
  <si>
    <t>COMMUNITY E</t>
  </si>
  <si>
    <t>COMMUNITY F</t>
  </si>
  <si>
    <t>COMMUNITY G</t>
  </si>
  <si>
    <t>COMMUNITY H</t>
  </si>
  <si>
    <t>COMMUNITY I</t>
  </si>
  <si>
    <t>COMMUNITY J</t>
  </si>
  <si>
    <t>COMMUNITY K</t>
  </si>
  <si>
    <t>1M3 BULK BAG INTERNAL SHIPMENT</t>
  </si>
  <si>
    <t>COMMUNITY G - COMMUNITY A</t>
  </si>
  <si>
    <t>COMMUNITY H - COMMUNITY A</t>
  </si>
  <si>
    <t>COMMUNITY C - COMMUNITY A</t>
  </si>
  <si>
    <t>COMMUNITY K - COMMUNITY A</t>
  </si>
  <si>
    <t>COMMUNITY J - COMMUNITY A</t>
  </si>
  <si>
    <t>COMMUNITY F - COMMUNITY A</t>
  </si>
  <si>
    <t>COMMUNITY D - COMMUNITY A</t>
  </si>
  <si>
    <t>COMMUNITY I - COMMUNITY A</t>
  </si>
  <si>
    <t>COMMUNITY B - COMMUNITY A</t>
  </si>
  <si>
    <t>COMMUNITY E - COMMUNITY A</t>
  </si>
  <si>
    <t>VOLUMN</t>
  </si>
  <si>
    <t>Total population</t>
  </si>
  <si>
    <t>Community D and  E</t>
  </si>
  <si>
    <t>NUMBER BIG BAGS COMMUNITY C</t>
  </si>
  <si>
    <t>SHIPMENT TO COMMUNITY A</t>
  </si>
  <si>
    <t>NUMBER BIG BAGS COMMUNITY D AND E</t>
  </si>
  <si>
    <t>NUMBER BIG BAGS COMMUNITY F</t>
  </si>
  <si>
    <t>NUMBER BIG BAGS COMMUNITY G</t>
  </si>
  <si>
    <t>NUMBER BIG BAGS COMMUNITY H</t>
  </si>
  <si>
    <t>NUMBER BIG BAGS COMMUNITY I</t>
  </si>
  <si>
    <t>NUMBER BIG BAGS COMMUNITY J</t>
  </si>
  <si>
    <t>NUMBER BIG BAGS COMMUNITY K</t>
  </si>
  <si>
    <t xml:space="preserve">1 - DEPOSIT </t>
  </si>
  <si>
    <t xml:space="preserve">The amount charged for each imported item. 
Comprises the Handling Fee (including Admin Fee), and the Deposit </t>
  </si>
  <si>
    <t>*Cost will depend on the tonnage of the container (estimated at USD 3/tonne)</t>
  </si>
  <si>
    <t>CORRELATION BETWEEN "DEPOSIT" AND "RETURN RATE"</t>
  </si>
  <si>
    <t>PSS - Economic Modeling</t>
  </si>
  <si>
    <t>USD</t>
  </si>
  <si>
    <t xml:space="preserve">Sustainable Financing 
</t>
  </si>
  <si>
    <t>NON-RECYCLABLE PENALTY FEE</t>
  </si>
  <si>
    <r>
      <rPr>
        <b/>
        <sz val="14"/>
        <color theme="1"/>
        <rFont val="Arial"/>
        <family val="2"/>
      </rPr>
      <t>GLASS</t>
    </r>
    <r>
      <rPr>
        <sz val="14"/>
        <color theme="1"/>
        <rFont val="Arial"/>
        <family val="2"/>
      </rPr>
      <t xml:space="preserve"> CONTAINERS ARE RECYCLABLE?</t>
    </r>
  </si>
  <si>
    <r>
      <t xml:space="preserve">TONNES OF CONTAINERS IN THE THE LANDFILL </t>
    </r>
    <r>
      <rPr>
        <b/>
        <sz val="14"/>
        <color rgb="FF000000"/>
        <rFont val="Arial"/>
        <family val="2"/>
      </rPr>
      <t>WITHOUT USING THE SCHEME</t>
    </r>
  </si>
  <si>
    <r>
      <t xml:space="preserve">OTHER </t>
    </r>
    <r>
      <rPr>
        <sz val="14"/>
        <color rgb="FF000000"/>
        <rFont val="Arial"/>
        <family val="2"/>
      </rPr>
      <t>CONTAINERS ARE RECYCLABLE?</t>
    </r>
  </si>
  <si>
    <r>
      <t xml:space="preserve">PET </t>
    </r>
    <r>
      <rPr>
        <sz val="14"/>
        <color rgb="FF000000"/>
        <rFont val="Arial"/>
        <family val="2"/>
      </rPr>
      <t>CONTAINERS ARE RECYCLABLE?</t>
    </r>
  </si>
  <si>
    <r>
      <t xml:space="preserve">TONNES OF CONTAINERS </t>
    </r>
    <r>
      <rPr>
        <b/>
        <sz val="14"/>
        <color rgb="FF000000"/>
        <rFont val="Arial"/>
        <family val="2"/>
      </rPr>
      <t xml:space="preserve">KEPT OUT </t>
    </r>
    <r>
      <rPr>
        <sz val="14"/>
        <color rgb="FF000000"/>
        <rFont val="Arial"/>
        <family val="2"/>
      </rPr>
      <t>OF THE LANDFILL USING THE SCHEME</t>
    </r>
  </si>
  <si>
    <r>
      <t xml:space="preserve">Total Amount of Aluminium in Cans </t>
    </r>
    <r>
      <rPr>
        <sz val="11"/>
        <color theme="1"/>
        <rFont val="Arial"/>
        <family val="2"/>
      </rPr>
      <t>(Kilograms)</t>
    </r>
  </si>
  <si>
    <r>
      <t xml:space="preserve">Scrap Aluminium </t>
    </r>
    <r>
      <rPr>
        <sz val="11"/>
        <color theme="1"/>
        <rFont val="Arial"/>
        <family val="2"/>
      </rPr>
      <t>(Market Price per Kilogram)</t>
    </r>
  </si>
  <si>
    <r>
      <t xml:space="preserve">Total Amount of PET in Bottles </t>
    </r>
    <r>
      <rPr>
        <sz val="11"/>
        <color theme="1"/>
        <rFont val="Arial"/>
        <family val="2"/>
      </rPr>
      <t>(Kilograms)</t>
    </r>
  </si>
  <si>
    <r>
      <t>Scrap PET</t>
    </r>
    <r>
      <rPr>
        <sz val="11"/>
        <color theme="1"/>
        <rFont val="Arial"/>
        <family val="2"/>
      </rPr>
      <t xml:space="preserve"> (Market Price per Kilogram)</t>
    </r>
  </si>
  <si>
    <t>Introduction</t>
  </si>
  <si>
    <t>Economic Modelling - Various Scheme Scenarios</t>
  </si>
  <si>
    <t xml:space="preserve">Avoided litter and waste management cost savings (USD/tonne)		</t>
  </si>
  <si>
    <t>A study by Deloitte for PlasticsEurope estimated the avoided cost of litter management for plastic waste to be approximately USD $420 per tonne. This includes costs related to collection, sorting, recycling, and landfilling.</t>
  </si>
  <si>
    <t xml:space="preserve">Environmental and health costs associated with landfilling plastics, including greenhouse gas emissions, leachate management, and long-term monitoring, are estimated to be around USD $20 to USD $50 per tonne. For Pacific Islands this is estimated to be USD $50 per tonne.
</t>
  </si>
  <si>
    <t>The deposit/return rate correlation is based on the average return rates of other pacific islands along with their corresponding return rates in USD. For deposit amounts without direct data, returns were estimated using a uniform percentage distribution for both increases and decreases</t>
  </si>
  <si>
    <t>THROUGHPUT ASSUMPTIONS</t>
  </si>
  <si>
    <t>MACHINERY SETUP ASSUMPTIONS</t>
  </si>
  <si>
    <t xml:space="preserve">Machinery energy consumption </t>
  </si>
  <si>
    <t>How to Use the Model</t>
  </si>
  <si>
    <t>Input field - can edit</t>
  </si>
  <si>
    <t>Calculated field - do not edit</t>
  </si>
  <si>
    <t>Values in these cells should be reviewed - can edit if needed</t>
  </si>
  <si>
    <t>Yellow</t>
  </si>
  <si>
    <t>Enter population distribution:</t>
  </si>
  <si>
    <t>Enter import data into the scheme:</t>
  </si>
  <si>
    <t>Enter values of scheme expenses:</t>
  </si>
  <si>
    <t>Examples</t>
  </si>
  <si>
    <t>examples or headings</t>
  </si>
  <si>
    <t>Three colours of Tabs:</t>
  </si>
  <si>
    <t>Yellow = data to be inserted and questions to be answered by the user (in light yellow cells)</t>
  </si>
  <si>
    <t>Orange = review data (only write in light orange cells if needed)</t>
  </si>
  <si>
    <t>Green = data to be inserted - add details of scheme collection scenarios</t>
  </si>
  <si>
    <t xml:space="preserve">Purple = once data input into the green and yellow tabs, interact with the "Dashboard" to analyse various scheme scenarios </t>
  </si>
  <si>
    <t>INSERT DATA:</t>
  </si>
  <si>
    <t>Answer the questions (enter data in light yellow cells) to provide details on population distribution, scheme throughput, and scheme expenses</t>
  </si>
  <si>
    <t>Provide estimates where necessary - examples are provided for reference</t>
  </si>
  <si>
    <t xml:space="preserve">Included number of depots and collection vehicles for each scenario </t>
  </si>
  <si>
    <t>Replace example data (in red text) with the information from your country</t>
  </si>
  <si>
    <t>The model will compare costs and redemption rates for each scenario based on the data input</t>
  </si>
  <si>
    <t>2. Questions tab - Answer questions (in yellow cells) on scheme expenses and local context</t>
  </si>
  <si>
    <t xml:space="preserve">You may find the accompanying Calculating Scheme Handing and Administration Fees and Tracking Scheme Performance Model useful to gather data on scheme throughput </t>
  </si>
  <si>
    <t xml:space="preserve">Once initial data is input into the yellow and green tabs of the spreadsheet, interact with the purple "Dashboard" to analyse the financial implications and return rates to compare different costs and return rates of each system designs. </t>
  </si>
  <si>
    <t>3. Dashboard tab - Compare scenarios</t>
  </si>
  <si>
    <t xml:space="preserve">1. Collection scenarios tab - provide information in the yellow cells to provide details on the collection networks you seek for the model to analyse </t>
  </si>
  <si>
    <t>Enter community names and details of three different collection scenarios you would like the model to compare</t>
  </si>
  <si>
    <t>This Excel spreadsheet is designed to support evidence-based decision making in the design of a Sustainable Financing scheme to support improved waste management. 
The model enables users to compare various scheme scenarios in the design of their Sustainable Finance Scheme such as:
     - different collection network scenarios and inclusion of remote and  
       outer island communities 
     - physical infrastructure investment such as number of deposits and 
       vehicles etc 
     - various deposit levels
Once initial data is input into the yellow and green tabs of the spreadsheet, users can interact with the purple "Dashboard" to analyse the financial implications and return rates across the different system designs. 
The model accounts for inflation, and provides for inclusion of a non-recycling penalty fee. 
By evaluating costs, revenues, and material return outcomes, this tool helps stakeholders project scheme performance and determine a financially viable PSS design tailored to their local context.
This model can be used in conjunction with the Calculating Scheme Handing and Administration Fees and Tracking Scheme Performance Model which will help calculate the scheme throughout and further refine scheme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</si>
</sst>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quot;£&quot;* #,##0.00_-;\-&quot;£&quot;* #,##0.00_-;_-&quot;£&quot;* &quot;-&quot;??_-;_-@_-"/>
    <numFmt numFmtId="165" formatCode="#,##0.00\ [$VUV]"/>
    <numFmt numFmtId="166" formatCode="0.000"/>
    <numFmt numFmtId="167" formatCode="0.0000"/>
    <numFmt numFmtId="168" formatCode="[$VUV]\ #,##0"/>
    <numFmt numFmtId="169" formatCode="_-[$SBD]\ * #,##0.00_-;\-[$SBD]\ * #,##0.00_-;_-[$SBD]\ * &quot;-&quot;??_-;_-@_-"/>
    <numFmt numFmtId="170" formatCode="_-[$SBD]\ * #,##0_-;\-[$SBD]\ * #,##0_-;_-[$SBD]\ * &quot;-&quot;??_-;_-@_-"/>
    <numFmt numFmtId="171" formatCode="0.000%"/>
    <numFmt numFmtId="172" formatCode="0.0"/>
    <numFmt numFmtId="173" formatCode="_-[$$-409]* #,##0.00_ ;_-[$$-409]* \-#,##0.00\ ;_-[$$-409]* &quot;-&quot;??_ ;_-@_ "/>
    <numFmt numFmtId="174" formatCode="_-[$$-409]* #,##0.0_ ;_-[$$-409]* \-#,##0.0\ ;_-[$$-409]* &quot;-&quot;??_ ;_-@_ "/>
    <numFmt numFmtId="175" formatCode="_-[$$-409]* #,##0_ ;_-[$$-409]* \-#,##0\ ;_-[$$-409]* &quot;-&quot;??_ ;_-@_ "/>
    <numFmt numFmtId="176" formatCode="_-* #,##0_-;\-* #,##0_-;_-* &quot;-&quot;??_-;_-@_-"/>
  </numFmts>
  <fonts count="64">
    <font>
      <sz val="11"/>
      <color theme="1"/>
      <name val="Calibri"/>
      <family val="2"/>
      <scheme val="minor"/>
    </font>
    <font>
      <sz val="12"/>
      <color theme="1"/>
      <name val="Calibri"/>
      <family val="2"/>
      <scheme val="minor"/>
    </font>
    <font>
      <sz val="11"/>
      <color theme="1"/>
      <name val="Helvetica Neue"/>
      <family val="2"/>
    </font>
    <font>
      <b/>
      <sz val="11"/>
      <color theme="1"/>
      <name val="Helvetica Neue"/>
      <family val="2"/>
    </font>
    <font>
      <sz val="16"/>
      <color rgb="FF000000"/>
      <name val="Tahoma"/>
      <family val="2"/>
    </font>
    <font>
      <sz val="11"/>
      <color rgb="FFFF0000"/>
      <name val="Helvetica Neue"/>
      <family val="2"/>
    </font>
    <font>
      <b/>
      <sz val="11"/>
      <color theme="1"/>
      <name val="Calibri"/>
      <family val="2"/>
      <scheme val="minor"/>
    </font>
    <font>
      <sz val="11"/>
      <color rgb="FF3F3F76"/>
      <name val="Calibri"/>
      <family val="2"/>
      <scheme val="minor"/>
    </font>
    <font>
      <b/>
      <sz val="12"/>
      <color theme="1"/>
      <name val="Arial"/>
      <family val="2"/>
    </font>
    <font>
      <sz val="12"/>
      <color theme="1"/>
      <name val="Arial"/>
      <family val="2"/>
    </font>
    <font>
      <b/>
      <sz val="14"/>
      <color theme="1"/>
      <name val="Arial"/>
      <family val="2"/>
    </font>
    <font>
      <sz val="10"/>
      <color theme="1"/>
      <name val="Arial"/>
      <family val="2"/>
    </font>
    <font>
      <sz val="11"/>
      <color theme="1"/>
      <name val="Arial"/>
      <family val="2"/>
    </font>
    <font>
      <b/>
      <sz val="11"/>
      <color theme="1" tint="0.249977111117893"/>
      <name val="Arial"/>
      <family val="2"/>
    </font>
    <font>
      <sz val="14"/>
      <color theme="1"/>
      <name val="Arial"/>
      <family val="2"/>
    </font>
    <font>
      <b/>
      <sz val="20"/>
      <color theme="1" tint="0.249977111117893"/>
      <name val="Arial"/>
      <family val="2"/>
    </font>
    <font>
      <b/>
      <sz val="11"/>
      <color theme="1"/>
      <name val="Arial"/>
      <family val="2"/>
    </font>
    <font>
      <b/>
      <sz val="11"/>
      <color rgb="FF000000"/>
      <name val="Arial"/>
      <family val="2"/>
    </font>
    <font>
      <b/>
      <sz val="28"/>
      <color theme="1" tint="0.249977111117893"/>
      <name val="Arial"/>
      <family val="2"/>
    </font>
    <font>
      <sz val="11"/>
      <color rgb="FF000000"/>
      <name val="Arial"/>
      <family val="2"/>
    </font>
    <font>
      <b/>
      <sz val="18"/>
      <color theme="1" tint="0.249977111117893"/>
      <name val="Arial"/>
      <family val="2"/>
    </font>
    <font>
      <b/>
      <sz val="14"/>
      <color rgb="FFFF0000"/>
      <name val="Arial"/>
      <family val="2"/>
    </font>
    <font>
      <sz val="11"/>
      <color theme="1"/>
      <name val="Calibri"/>
      <family val="2"/>
      <scheme val="minor"/>
    </font>
    <font>
      <sz val="11"/>
      <color rgb="FF006100"/>
      <name val="Calibri"/>
      <family val="2"/>
      <scheme val="minor"/>
    </font>
    <font>
      <sz val="13"/>
      <color rgb="FF000000"/>
      <name val="Verdana"/>
      <family val="2"/>
    </font>
    <font>
      <sz val="11"/>
      <color theme="1"/>
      <name val="Calibri"/>
      <family val="2"/>
    </font>
    <font>
      <b/>
      <sz val="11"/>
      <color rgb="FF0070C0"/>
      <name val="Arial"/>
      <family val="2"/>
    </font>
    <font>
      <b/>
      <sz val="11"/>
      <color rgb="FF00B050"/>
      <name val="Arial"/>
      <family val="2"/>
    </font>
    <font>
      <sz val="11"/>
      <color rgb="FFFF0000"/>
      <name val="Arial"/>
      <family val="2"/>
    </font>
    <font>
      <sz val="14"/>
      <name val="Arial"/>
      <family val="2"/>
    </font>
    <font>
      <b/>
      <sz val="14"/>
      <name val="Arial"/>
      <family val="2"/>
    </font>
    <font>
      <sz val="11"/>
      <name val="Arial"/>
      <family val="2"/>
    </font>
    <font>
      <b/>
      <sz val="11"/>
      <color rgb="FF7030A0"/>
      <name val="Arial"/>
      <family val="2"/>
    </font>
    <font>
      <sz val="8"/>
      <name val="Calibri"/>
      <family val="2"/>
      <scheme val="minor"/>
    </font>
    <font>
      <b/>
      <sz val="26"/>
      <name val="Calibri"/>
      <family val="2"/>
    </font>
    <font>
      <b/>
      <sz val="11"/>
      <color rgb="FFFF0000"/>
      <name val="Arial"/>
      <family val="2"/>
    </font>
    <font>
      <b/>
      <sz val="14"/>
      <color rgb="FF000000"/>
      <name val="Arial"/>
      <family val="2"/>
    </font>
    <font>
      <b/>
      <sz val="14"/>
      <color theme="1" tint="0.249977111117893"/>
      <name val="Arial"/>
      <family val="2"/>
    </font>
    <font>
      <sz val="14"/>
      <color rgb="FF000000"/>
      <name val="Arial"/>
      <family val="2"/>
    </font>
    <font>
      <b/>
      <sz val="18"/>
      <color rgb="FF000000"/>
      <name val="Arial"/>
      <family val="2"/>
    </font>
    <font>
      <b/>
      <sz val="11"/>
      <color theme="0"/>
      <name val="Arial"/>
      <family val="2"/>
    </font>
    <font>
      <sz val="11"/>
      <name val="Helvetica Neue"/>
    </font>
    <font>
      <b/>
      <sz val="11"/>
      <name val="Helvetica Neue"/>
      <family val="2"/>
    </font>
    <font>
      <b/>
      <sz val="11"/>
      <color rgb="FF000000"/>
      <name val="Calibri"/>
      <family val="2"/>
    </font>
    <font>
      <sz val="11"/>
      <color rgb="FF000000"/>
      <name val="Calibri"/>
      <family val="2"/>
    </font>
    <font>
      <sz val="11"/>
      <color theme="4" tint="0.39997558519241921"/>
      <name val="Arial"/>
      <family val="2"/>
    </font>
    <font>
      <b/>
      <i/>
      <sz val="11"/>
      <color rgb="FF000000"/>
      <name val="Arial"/>
      <family val="2"/>
    </font>
    <font>
      <i/>
      <sz val="11"/>
      <color rgb="FF000000"/>
      <name val="Arial"/>
      <family val="2"/>
    </font>
    <font>
      <i/>
      <sz val="11"/>
      <color theme="1"/>
      <name val="Arial"/>
      <family val="2"/>
    </font>
    <font>
      <b/>
      <sz val="22"/>
      <name val="Arial"/>
      <family val="2"/>
    </font>
    <font>
      <b/>
      <sz val="26"/>
      <name val="Arial"/>
      <family val="2"/>
    </font>
    <font>
      <sz val="10"/>
      <color rgb="FF000000"/>
      <name val="Arial"/>
      <family val="2"/>
    </font>
    <font>
      <b/>
      <sz val="10"/>
      <color rgb="FF00B050"/>
      <name val="Arial"/>
      <family val="2"/>
    </font>
    <font>
      <sz val="10"/>
      <color theme="6"/>
      <name val="Arial"/>
      <family val="2"/>
    </font>
    <font>
      <sz val="12"/>
      <color rgb="FFFF0000"/>
      <name val="Arial"/>
      <family val="2"/>
    </font>
    <font>
      <b/>
      <sz val="11"/>
      <color rgb="FF006100"/>
      <name val="Arial"/>
      <family val="2"/>
    </font>
    <font>
      <b/>
      <sz val="11"/>
      <color rgb="FF00BDF2"/>
      <name val="Arial"/>
      <family val="2"/>
    </font>
    <font>
      <sz val="10"/>
      <name val="Arial"/>
      <family val="2"/>
    </font>
    <font>
      <sz val="10"/>
      <color rgb="FFFF0000"/>
      <name val="Arial"/>
      <family val="2"/>
    </font>
    <font>
      <i/>
      <sz val="11"/>
      <name val="Arial"/>
      <family val="2"/>
    </font>
    <font>
      <sz val="11"/>
      <color theme="1"/>
      <name val="Helvetica Neue"/>
    </font>
    <font>
      <b/>
      <sz val="10"/>
      <color theme="1"/>
      <name val="Arial"/>
      <family val="2"/>
    </font>
    <font>
      <b/>
      <sz val="10"/>
      <name val="Arial"/>
      <family val="2"/>
    </font>
    <font>
      <i/>
      <sz val="10"/>
      <color theme="1"/>
      <name val="Arial"/>
      <family val="2"/>
    </font>
  </fonts>
  <fills count="63">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E4C9FF"/>
        <bgColor indexed="64"/>
      </patternFill>
    </fill>
    <fill>
      <patternFill patternType="solid">
        <fgColor rgb="FFF7A1A9"/>
        <bgColor indexed="64"/>
      </patternFill>
    </fill>
    <fill>
      <patternFill patternType="solid">
        <fgColor rgb="FFFFC000"/>
        <bgColor indexed="64"/>
      </patternFill>
    </fill>
    <fill>
      <patternFill patternType="solid">
        <fgColor rgb="FFA3FFFF"/>
        <bgColor indexed="64"/>
      </patternFill>
    </fill>
    <fill>
      <patternFill patternType="solid">
        <fgColor rgb="FFCDF2FF"/>
        <bgColor indexed="64"/>
      </patternFill>
    </fill>
    <fill>
      <patternFill patternType="solid">
        <fgColor rgb="FFFFABCD"/>
        <bgColor indexed="64"/>
      </patternFill>
    </fill>
    <fill>
      <patternFill patternType="solid">
        <fgColor rgb="FFFF97FF"/>
        <bgColor indexed="64"/>
      </patternFill>
    </fill>
    <fill>
      <patternFill patternType="solid">
        <fgColor rgb="FFFFF2CC"/>
        <bgColor indexed="64"/>
      </patternFill>
    </fill>
    <fill>
      <patternFill patternType="solid">
        <fgColor rgb="FFBDD7EE"/>
        <bgColor indexed="64"/>
      </patternFill>
    </fill>
    <fill>
      <patternFill patternType="solid">
        <fgColor rgb="FFFFE7F3"/>
        <bgColor indexed="64"/>
      </patternFill>
    </fill>
    <fill>
      <patternFill patternType="solid">
        <fgColor rgb="FFFFFFAB"/>
        <bgColor indexed="64"/>
      </patternFill>
    </fill>
    <fill>
      <patternFill patternType="solid">
        <fgColor rgb="FFD1FFFF"/>
        <bgColor indexed="64"/>
      </patternFill>
    </fill>
    <fill>
      <patternFill patternType="solid">
        <fgColor theme="0" tint="-0.249977111117893"/>
        <bgColor indexed="64"/>
      </patternFill>
    </fill>
    <fill>
      <patternFill patternType="solid">
        <fgColor rgb="FFF4B084"/>
        <bgColor indexed="64"/>
      </patternFill>
    </fill>
    <fill>
      <patternFill patternType="solid">
        <fgColor rgb="FF9BC2E6"/>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FFD44B"/>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rgb="FFF6B0F3"/>
        <bgColor indexed="64"/>
      </patternFill>
    </fill>
    <fill>
      <patternFill patternType="solid">
        <fgColor rgb="FFFFCC99"/>
      </patternFill>
    </fill>
    <fill>
      <patternFill patternType="solid">
        <fgColor theme="0" tint="-4.9989318521683403E-2"/>
        <bgColor indexed="64"/>
      </patternFill>
    </fill>
    <fill>
      <patternFill patternType="solid">
        <fgColor theme="0"/>
        <bgColor indexed="64"/>
      </patternFill>
    </fill>
    <fill>
      <patternFill patternType="solid">
        <fgColor rgb="FFFF616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7030A0"/>
        <bgColor indexed="64"/>
      </patternFill>
    </fill>
    <fill>
      <patternFill patternType="solid">
        <fgColor theme="7" tint="-0.249977111117893"/>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rgb="FFBDD7EE"/>
        <bgColor rgb="FF000000"/>
      </patternFill>
    </fill>
    <fill>
      <patternFill patternType="solid">
        <fgColor rgb="FFC6E0B4"/>
        <bgColor rgb="FF000000"/>
      </patternFill>
    </fill>
    <fill>
      <patternFill patternType="solid">
        <fgColor rgb="FFD9D9D9"/>
        <bgColor rgb="FF000000"/>
      </patternFill>
    </fill>
    <fill>
      <patternFill patternType="solid">
        <fgColor rgb="FFF8CBAD"/>
        <bgColor rgb="FF000000"/>
      </patternFill>
    </fill>
    <fill>
      <patternFill patternType="solid">
        <fgColor rgb="FFB4C6E7"/>
        <bgColor rgb="FF000000"/>
      </patternFill>
    </fill>
    <fill>
      <patternFill patternType="solid">
        <fgColor rgb="FFFFE699"/>
        <bgColor rgb="FF000000"/>
      </patternFill>
    </fill>
    <fill>
      <patternFill patternType="solid">
        <fgColor rgb="FFFF0000"/>
        <bgColor indexed="64"/>
      </patternFill>
    </fill>
    <fill>
      <patternFill patternType="solid">
        <fgColor rgb="FF00B050"/>
        <bgColor indexed="64"/>
      </patternFill>
    </fill>
    <fill>
      <patternFill patternType="solid">
        <fgColor theme="8" tint="0.39997558519241921"/>
        <bgColor indexed="64"/>
      </patternFill>
    </fill>
    <fill>
      <patternFill patternType="solid">
        <fgColor theme="7" tint="0.39997558519241921"/>
        <bgColor rgb="FF000000"/>
      </patternFill>
    </fill>
    <fill>
      <patternFill patternType="solid">
        <fgColor rgb="FFC6EFCE"/>
      </patternFill>
    </fill>
    <fill>
      <patternFill patternType="solid">
        <fgColor rgb="FFDBDBDB"/>
        <bgColor rgb="FF000000"/>
      </patternFill>
    </fill>
    <fill>
      <patternFill patternType="solid">
        <fgColor theme="2"/>
        <bgColor indexed="64"/>
      </patternFill>
    </fill>
    <fill>
      <patternFill patternType="solid">
        <fgColor rgb="FFFFFFFF"/>
        <bgColor indexed="64"/>
      </patternFill>
    </fill>
    <fill>
      <patternFill patternType="solid">
        <fgColor theme="4"/>
        <bgColor indexed="64"/>
      </patternFill>
    </fill>
    <fill>
      <patternFill patternType="solid">
        <fgColor theme="7"/>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bottom/>
      <diagonal/>
    </border>
    <border>
      <left/>
      <right/>
      <top style="medium">
        <color rgb="FF000000"/>
      </top>
      <bottom style="medium">
        <color rgb="FF000000"/>
      </bottom>
      <diagonal/>
    </border>
    <border>
      <left style="thin">
        <color indexed="64"/>
      </left>
      <right/>
      <top/>
      <bottom/>
      <diagonal/>
    </border>
    <border>
      <left/>
      <right style="medium">
        <color rgb="FF000000"/>
      </right>
      <top/>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bottom style="thin">
        <color rgb="FF000000"/>
      </bottom>
      <diagonal/>
    </border>
    <border>
      <left/>
      <right/>
      <top style="medium">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medium">
        <color rgb="FF000000"/>
      </top>
      <bottom/>
      <diagonal/>
    </border>
    <border>
      <left/>
      <right/>
      <top/>
      <bottom style="medium">
        <color rgb="FF000000"/>
      </bottom>
      <diagonal/>
    </border>
    <border>
      <left/>
      <right style="thin">
        <color rgb="FF000000"/>
      </right>
      <top style="thin">
        <color rgb="FF000000"/>
      </top>
      <bottom/>
      <diagonal/>
    </border>
    <border>
      <left style="thin">
        <color rgb="FF000000"/>
      </left>
      <right/>
      <top/>
      <bottom/>
      <diagonal/>
    </border>
    <border>
      <left/>
      <right/>
      <top style="thin">
        <color rgb="FF000000"/>
      </top>
      <bottom/>
      <diagonal/>
    </border>
    <border>
      <left/>
      <right/>
      <top style="thin">
        <color rgb="FF000000"/>
      </top>
      <bottom style="medium">
        <color rgb="FF000000"/>
      </bottom>
      <diagonal/>
    </border>
    <border>
      <left/>
      <right/>
      <top/>
      <bottom style="thin">
        <color rgb="FF000000"/>
      </bottom>
      <diagonal/>
    </border>
    <border>
      <left style="medium">
        <color rgb="FF000000"/>
      </left>
      <right/>
      <top style="thin">
        <color rgb="FF000000"/>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diagonal/>
    </border>
    <border>
      <left style="thin">
        <color rgb="FF000000"/>
      </left>
      <right style="thin">
        <color rgb="FF000000"/>
      </right>
      <top/>
      <bottom style="medium">
        <color rgb="FF000000"/>
      </bottom>
      <diagonal/>
    </border>
    <border>
      <left style="medium">
        <color rgb="FF000000"/>
      </left>
      <right/>
      <top/>
      <bottom style="thin">
        <color rgb="FF000000"/>
      </bottom>
      <diagonal/>
    </border>
    <border>
      <left/>
      <right style="thin">
        <color indexed="64"/>
      </right>
      <top/>
      <bottom style="thin">
        <color rgb="FF000000"/>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right/>
      <top/>
      <bottom style="medium">
        <color rgb="FF0078BF"/>
      </bottom>
      <diagonal/>
    </border>
  </borders>
  <cellStyleXfs count="8">
    <xf numFmtId="0" fontId="0" fillId="0" borderId="0"/>
    <xf numFmtId="0" fontId="7" fillId="35" borderId="24" applyNumberFormat="0" applyAlignment="0" applyProtection="0"/>
    <xf numFmtId="0" fontId="1" fillId="0" borderId="0"/>
    <xf numFmtId="9" fontId="22" fillId="0" borderId="0" applyFont="0" applyFill="0" applyBorder="0" applyAlignment="0" applyProtection="0"/>
    <xf numFmtId="164" fontId="22" fillId="0" borderId="0" applyFont="0" applyFill="0" applyBorder="0" applyAlignment="0" applyProtection="0"/>
    <xf numFmtId="0" fontId="23" fillId="57" borderId="0" applyNumberFormat="0" applyBorder="0" applyAlignment="0" applyProtection="0"/>
    <xf numFmtId="43" fontId="22" fillId="0" borderId="0" applyFont="0" applyFill="0" applyBorder="0" applyAlignment="0" applyProtection="0"/>
    <xf numFmtId="43" fontId="22" fillId="0" borderId="0" applyFont="0" applyFill="0" applyBorder="0" applyAlignment="0" applyProtection="0"/>
  </cellStyleXfs>
  <cellXfs count="770">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wrapText="1"/>
    </xf>
    <xf numFmtId="0" fontId="3" fillId="0" borderId="0" xfId="0" applyFont="1" applyAlignment="1">
      <alignment horizontal="center" vertical="center"/>
    </xf>
    <xf numFmtId="0" fontId="2" fillId="7" borderId="1" xfId="0" applyFont="1" applyFill="1" applyBorder="1" applyAlignment="1">
      <alignment vertical="center"/>
    </xf>
    <xf numFmtId="0" fontId="2" fillId="37" borderId="0" xfId="0" applyFont="1" applyFill="1"/>
    <xf numFmtId="0" fontId="12" fillId="37" borderId="0" xfId="0" applyFont="1" applyFill="1"/>
    <xf numFmtId="0" fontId="11" fillId="37" borderId="0" xfId="0" applyFont="1" applyFill="1"/>
    <xf numFmtId="0" fontId="15" fillId="37" borderId="0" xfId="0" applyFont="1" applyFill="1" applyAlignment="1">
      <alignment horizontal="left" vertical="center"/>
    </xf>
    <xf numFmtId="0" fontId="13" fillId="37" borderId="0" xfId="0" applyFont="1" applyFill="1" applyAlignment="1">
      <alignment horizontal="center" vertical="center"/>
    </xf>
    <xf numFmtId="0" fontId="12" fillId="0" borderId="0" xfId="0" applyFont="1"/>
    <xf numFmtId="0" fontId="12" fillId="0" borderId="27" xfId="0" applyFont="1" applyBorder="1" applyAlignment="1">
      <alignment horizontal="left" vertical="center"/>
    </xf>
    <xf numFmtId="0" fontId="12" fillId="22" borderId="27" xfId="0" applyFont="1" applyFill="1" applyBorder="1" applyAlignment="1">
      <alignment horizontal="center" vertical="center"/>
    </xf>
    <xf numFmtId="0" fontId="12" fillId="0" borderId="27" xfId="0" applyFont="1" applyBorder="1" applyAlignment="1">
      <alignment vertical="center"/>
    </xf>
    <xf numFmtId="3" fontId="12" fillId="0" borderId="27" xfId="0" applyNumberFormat="1" applyFont="1" applyBorder="1" applyAlignment="1">
      <alignment horizontal="center" vertical="center"/>
    </xf>
    <xf numFmtId="0" fontId="12" fillId="0" borderId="27" xfId="0" applyFont="1" applyBorder="1"/>
    <xf numFmtId="3" fontId="12" fillId="39" borderId="27" xfId="0" applyNumberFormat="1" applyFont="1" applyFill="1" applyBorder="1" applyAlignment="1">
      <alignment horizontal="center" vertical="center"/>
    </xf>
    <xf numFmtId="0" fontId="12" fillId="0" borderId="0" xfId="0" applyFont="1" applyAlignment="1">
      <alignment horizontal="center" vertical="center"/>
    </xf>
    <xf numFmtId="0" fontId="16" fillId="0" borderId="0" xfId="0" applyFont="1" applyAlignment="1">
      <alignment horizontal="center" vertical="center"/>
    </xf>
    <xf numFmtId="165" fontId="12" fillId="0" borderId="0" xfId="0" applyNumberFormat="1" applyFont="1" applyAlignment="1">
      <alignment horizontal="right" vertical="center"/>
    </xf>
    <xf numFmtId="0" fontId="16" fillId="0" borderId="0" xfId="0" applyFont="1" applyAlignment="1">
      <alignment horizontal="right" vertical="center" wrapText="1"/>
    </xf>
    <xf numFmtId="0" fontId="16" fillId="0" borderId="0" xfId="0" applyFont="1" applyAlignment="1">
      <alignment horizontal="center" vertical="center" wrapText="1"/>
    </xf>
    <xf numFmtId="165" fontId="9" fillId="0" borderId="0" xfId="0" applyNumberFormat="1" applyFont="1" applyAlignment="1">
      <alignment vertical="center"/>
    </xf>
    <xf numFmtId="0" fontId="8" fillId="0" borderId="0" xfId="0" applyFont="1" applyAlignment="1">
      <alignment horizontal="center" vertical="center"/>
    </xf>
    <xf numFmtId="0" fontId="12" fillId="0" borderId="0" xfId="0" applyFont="1" applyAlignment="1">
      <alignment horizontal="center"/>
    </xf>
    <xf numFmtId="0" fontId="12" fillId="0" borderId="0" xfId="0" applyFont="1" applyAlignment="1">
      <alignment wrapText="1"/>
    </xf>
    <xf numFmtId="0" fontId="16" fillId="5" borderId="27" xfId="0" applyFont="1" applyFill="1" applyBorder="1" applyAlignment="1">
      <alignment horizontal="center" vertical="center"/>
    </xf>
    <xf numFmtId="0" fontId="12" fillId="36" borderId="0" xfId="0" applyFont="1" applyFill="1" applyAlignment="1">
      <alignment horizontal="center"/>
    </xf>
    <xf numFmtId="0" fontId="12" fillId="36" borderId="0" xfId="0" applyFont="1" applyFill="1"/>
    <xf numFmtId="0" fontId="12" fillId="42" borderId="0" xfId="0" applyFont="1" applyFill="1"/>
    <xf numFmtId="0" fontId="10" fillId="42" borderId="0" xfId="0" applyFont="1" applyFill="1" applyAlignment="1">
      <alignment horizontal="center" vertical="center" wrapText="1"/>
    </xf>
    <xf numFmtId="0" fontId="14" fillId="42" borderId="0" xfId="0" applyFont="1" applyFill="1"/>
    <xf numFmtId="0" fontId="12" fillId="40" borderId="0" xfId="0" applyFont="1" applyFill="1"/>
    <xf numFmtId="0" fontId="13" fillId="40" borderId="0" xfId="0" applyFont="1" applyFill="1" applyAlignment="1">
      <alignment vertical="top"/>
    </xf>
    <xf numFmtId="0" fontId="13" fillId="40" borderId="0" xfId="0" applyFont="1" applyFill="1" applyAlignment="1">
      <alignment horizontal="center" vertical="center"/>
    </xf>
    <xf numFmtId="0" fontId="10" fillId="40" borderId="0" xfId="0" applyFont="1" applyFill="1" applyAlignment="1">
      <alignment horizontal="center" vertical="center" wrapText="1"/>
    </xf>
    <xf numFmtId="0" fontId="14" fillId="36" borderId="0" xfId="0" applyFont="1" applyFill="1" applyAlignment="1">
      <alignment vertical="center"/>
    </xf>
    <xf numFmtId="0" fontId="12" fillId="5" borderId="0" xfId="0" applyFont="1" applyFill="1" applyAlignment="1">
      <alignment horizontal="center" vertical="center"/>
    </xf>
    <xf numFmtId="0" fontId="12" fillId="2" borderId="27" xfId="0" applyFont="1" applyFill="1" applyBorder="1" applyAlignment="1">
      <alignment horizontal="center" vertical="center"/>
    </xf>
    <xf numFmtId="0" fontId="14" fillId="36" borderId="0" xfId="0" applyFont="1" applyFill="1" applyAlignment="1">
      <alignment horizontal="left" vertical="center"/>
    </xf>
    <xf numFmtId="0" fontId="16" fillId="6" borderId="29" xfId="0" applyFont="1" applyFill="1" applyBorder="1" applyAlignment="1">
      <alignment horizontal="center" vertical="center"/>
    </xf>
    <xf numFmtId="0" fontId="3" fillId="44" borderId="32" xfId="0" applyFont="1" applyFill="1" applyBorder="1" applyAlignment="1">
      <alignment horizontal="center" vertical="center"/>
    </xf>
    <xf numFmtId="0" fontId="16" fillId="37" borderId="29" xfId="0" applyFont="1" applyFill="1" applyBorder="1" applyAlignment="1">
      <alignment horizontal="center" vertical="center"/>
    </xf>
    <xf numFmtId="0" fontId="10" fillId="37" borderId="59" xfId="0" applyFont="1" applyFill="1" applyBorder="1" applyAlignment="1">
      <alignment horizontal="center" vertical="center"/>
    </xf>
    <xf numFmtId="0" fontId="3" fillId="37" borderId="27" xfId="0" applyFont="1" applyFill="1" applyBorder="1" applyAlignment="1">
      <alignment horizontal="center" vertical="center"/>
    </xf>
    <xf numFmtId="0" fontId="3" fillId="37" borderId="32" xfId="0" applyFont="1" applyFill="1" applyBorder="1" applyAlignment="1">
      <alignment horizontal="center" vertical="center"/>
    </xf>
    <xf numFmtId="0" fontId="24" fillId="0" borderId="0" xfId="0" applyFont="1"/>
    <xf numFmtId="0" fontId="24" fillId="0" borderId="0" xfId="0" applyFont="1" applyAlignment="1">
      <alignment wrapText="1"/>
    </xf>
    <xf numFmtId="3" fontId="24" fillId="0" borderId="0" xfId="0" applyNumberFormat="1" applyFont="1"/>
    <xf numFmtId="0" fontId="14" fillId="0" borderId="0" xfId="0" applyFont="1"/>
    <xf numFmtId="0" fontId="19" fillId="60" borderId="27" xfId="0" applyFont="1" applyFill="1" applyBorder="1" applyAlignment="1">
      <alignment wrapText="1" readingOrder="1"/>
    </xf>
    <xf numFmtId="0" fontId="19" fillId="0" borderId="27" xfId="0" applyFont="1" applyBorder="1"/>
    <xf numFmtId="0" fontId="19" fillId="60" borderId="27" xfId="0" applyFont="1" applyFill="1" applyBorder="1" applyAlignment="1">
      <alignment wrapText="1"/>
    </xf>
    <xf numFmtId="0" fontId="16" fillId="0" borderId="27" xfId="0" applyFont="1" applyBorder="1" applyAlignment="1">
      <alignment horizontal="right" vertical="center"/>
    </xf>
    <xf numFmtId="0" fontId="12" fillId="0" borderId="27" xfId="0" applyFont="1" applyBorder="1" applyAlignment="1">
      <alignment horizontal="left" vertical="center" wrapText="1"/>
    </xf>
    <xf numFmtId="0" fontId="0" fillId="0" borderId="0" xfId="2" applyFont="1"/>
    <xf numFmtId="175" fontId="12" fillId="39" borderId="1" xfId="0" applyNumberFormat="1" applyFont="1" applyFill="1" applyBorder="1" applyAlignment="1">
      <alignment horizontal="right" vertical="center" indent="1"/>
    </xf>
    <xf numFmtId="174" fontId="0" fillId="0" borderId="0" xfId="0" applyNumberFormat="1"/>
    <xf numFmtId="175" fontId="8" fillId="39" borderId="1" xfId="0" applyNumberFormat="1" applyFont="1" applyFill="1" applyBorder="1" applyAlignment="1">
      <alignment horizontal="right" vertical="center" indent="1"/>
    </xf>
    <xf numFmtId="175" fontId="0" fillId="0" borderId="0" xfId="0" applyNumberFormat="1"/>
    <xf numFmtId="174" fontId="12" fillId="0" borderId="0" xfId="0" applyNumberFormat="1" applyFont="1"/>
    <xf numFmtId="174" fontId="2" fillId="0" borderId="0" xfId="0" applyNumberFormat="1" applyFont="1"/>
    <xf numFmtId="175" fontId="12" fillId="0" borderId="0" xfId="0" applyNumberFormat="1" applyFont="1"/>
    <xf numFmtId="175" fontId="2" fillId="0" borderId="0" xfId="0" applyNumberFormat="1" applyFont="1"/>
    <xf numFmtId="176" fontId="12" fillId="22" borderId="6" xfId="6" applyNumberFormat="1" applyFont="1" applyFill="1" applyBorder="1" applyAlignment="1">
      <alignment horizontal="center" vertical="center"/>
    </xf>
    <xf numFmtId="175" fontId="31" fillId="59" borderId="1" xfId="0" applyNumberFormat="1" applyFont="1" applyFill="1" applyBorder="1" applyAlignment="1">
      <alignment horizontal="right" vertical="center" wrapText="1"/>
    </xf>
    <xf numFmtId="175" fontId="31" fillId="22" borderId="27" xfId="0" applyNumberFormat="1" applyFont="1" applyFill="1" applyBorder="1" applyAlignment="1">
      <alignment horizontal="center" vertical="center" wrapText="1"/>
    </xf>
    <xf numFmtId="0" fontId="0" fillId="12" borderId="0" xfId="0" applyFill="1"/>
    <xf numFmtId="0" fontId="0" fillId="12" borderId="0" xfId="0" applyFill="1" applyAlignment="1">
      <alignment horizontal="center"/>
    </xf>
    <xf numFmtId="0" fontId="34" fillId="12" borderId="0" xfId="0" applyFont="1" applyFill="1"/>
    <xf numFmtId="0" fontId="13" fillId="36" borderId="0" xfId="0" applyFont="1" applyFill="1" applyAlignment="1">
      <alignment horizontal="center" vertical="center"/>
    </xf>
    <xf numFmtId="0" fontId="16" fillId="37" borderId="0" xfId="0" applyFont="1" applyFill="1" applyAlignment="1">
      <alignment horizontal="center" vertical="center" wrapText="1"/>
    </xf>
    <xf numFmtId="0" fontId="37" fillId="36" borderId="0" xfId="0" applyFont="1" applyFill="1" applyAlignment="1">
      <alignment horizontal="center" vertical="center"/>
    </xf>
    <xf numFmtId="0" fontId="37" fillId="37" borderId="0" xfId="0" applyFont="1" applyFill="1" applyAlignment="1">
      <alignment horizontal="center" vertical="center"/>
    </xf>
    <xf numFmtId="0" fontId="37" fillId="40" borderId="0" xfId="0" applyFont="1" applyFill="1" applyAlignment="1">
      <alignment horizontal="center" vertical="center"/>
    </xf>
    <xf numFmtId="0" fontId="14" fillId="22" borderId="29" xfId="0" applyFont="1" applyFill="1" applyBorder="1" applyAlignment="1">
      <alignment horizontal="center" vertical="center" wrapText="1"/>
    </xf>
    <xf numFmtId="0" fontId="14" fillId="36" borderId="0" xfId="0" applyFont="1" applyFill="1"/>
    <xf numFmtId="0" fontId="14" fillId="37" borderId="0" xfId="0" applyFont="1" applyFill="1"/>
    <xf numFmtId="166" fontId="14" fillId="40" borderId="0" xfId="0" applyNumberFormat="1" applyFont="1" applyFill="1" applyAlignment="1">
      <alignment horizontal="center"/>
    </xf>
    <xf numFmtId="0" fontId="10" fillId="36" borderId="0" xfId="0" applyFont="1" applyFill="1"/>
    <xf numFmtId="0" fontId="14" fillId="40" borderId="0" xfId="0" applyFont="1" applyFill="1"/>
    <xf numFmtId="2" fontId="14" fillId="40" borderId="0" xfId="0" applyNumberFormat="1" applyFont="1" applyFill="1" applyAlignment="1">
      <alignment horizontal="center" vertical="center"/>
    </xf>
    <xf numFmtId="0" fontId="14" fillId="37" borderId="0" xfId="0" applyFont="1" applyFill="1" applyAlignment="1">
      <alignment horizontal="center" vertical="center"/>
    </xf>
    <xf numFmtId="0" fontId="14" fillId="7" borderId="0" xfId="0" applyFont="1" applyFill="1" applyAlignment="1">
      <alignment horizontal="center" vertical="center" wrapText="1"/>
    </xf>
    <xf numFmtId="3" fontId="14" fillId="37" borderId="0" xfId="0" applyNumberFormat="1" applyFont="1" applyFill="1" applyAlignment="1">
      <alignment horizontal="center" vertical="center"/>
    </xf>
    <xf numFmtId="0" fontId="14" fillId="3" borderId="0" xfId="0" applyFont="1" applyFill="1" applyAlignment="1">
      <alignment horizontal="center" vertical="center"/>
    </xf>
    <xf numFmtId="3" fontId="14" fillId="17" borderId="0" xfId="0" applyNumberFormat="1" applyFont="1" applyFill="1" applyAlignment="1">
      <alignment horizontal="center" vertical="center" wrapText="1"/>
    </xf>
    <xf numFmtId="0" fontId="14" fillId="5" borderId="0" xfId="0" applyFont="1" applyFill="1" applyAlignment="1">
      <alignment horizontal="center" vertical="center"/>
    </xf>
    <xf numFmtId="0" fontId="14" fillId="6" borderId="0" xfId="0" applyFont="1" applyFill="1" applyAlignment="1">
      <alignment horizontal="center" vertical="center"/>
    </xf>
    <xf numFmtId="0" fontId="14" fillId="4" borderId="0" xfId="0" applyFont="1" applyFill="1" applyAlignment="1">
      <alignment horizontal="center" vertical="center"/>
    </xf>
    <xf numFmtId="0" fontId="14" fillId="37" borderId="48" xfId="0" applyFont="1" applyFill="1" applyBorder="1"/>
    <xf numFmtId="0" fontId="10" fillId="0" borderId="29" xfId="0" applyFont="1" applyBorder="1" applyAlignment="1">
      <alignment horizontal="left" vertical="center"/>
    </xf>
    <xf numFmtId="173" fontId="14" fillId="10" borderId="27" xfId="0" applyNumberFormat="1" applyFont="1" applyFill="1" applyBorder="1" applyAlignment="1">
      <alignment horizontal="center" vertical="center" wrapText="1"/>
    </xf>
    <xf numFmtId="169" fontId="14" fillId="10" borderId="27" xfId="0" applyNumberFormat="1" applyFont="1" applyFill="1" applyBorder="1" applyAlignment="1">
      <alignment horizontal="center" vertical="center" wrapText="1"/>
    </xf>
    <xf numFmtId="0" fontId="10" fillId="0" borderId="27" xfId="0" applyFont="1" applyBorder="1" applyAlignment="1">
      <alignment horizontal="left" vertical="center"/>
    </xf>
    <xf numFmtId="173" fontId="14" fillId="0" borderId="0" xfId="0" applyNumberFormat="1" applyFont="1" applyAlignment="1">
      <alignment horizontal="center" vertical="center" wrapText="1"/>
    </xf>
    <xf numFmtId="169" fontId="14" fillId="0" borderId="0" xfId="0" applyNumberFormat="1" applyFont="1" applyAlignment="1">
      <alignment horizontal="center" vertical="center" wrapText="1"/>
    </xf>
    <xf numFmtId="169" fontId="14" fillId="0" borderId="68" xfId="0" applyNumberFormat="1" applyFont="1" applyBorder="1" applyAlignment="1">
      <alignment horizontal="center" vertical="center" wrapText="1"/>
    </xf>
    <xf numFmtId="173" fontId="14" fillId="39" borderId="27" xfId="0" applyNumberFormat="1" applyFont="1" applyFill="1" applyBorder="1" applyAlignment="1">
      <alignment horizontal="center" vertical="center" wrapText="1"/>
    </xf>
    <xf numFmtId="169" fontId="14" fillId="39" borderId="27" xfId="0" applyNumberFormat="1" applyFont="1" applyFill="1" applyBorder="1" applyAlignment="1">
      <alignment horizontal="center" vertical="center" wrapText="1"/>
    </xf>
    <xf numFmtId="0" fontId="10" fillId="37" borderId="38" xfId="0" applyFont="1" applyFill="1" applyBorder="1" applyAlignment="1">
      <alignment horizontal="left" vertical="center"/>
    </xf>
    <xf numFmtId="0" fontId="14" fillId="42" borderId="0" xfId="0" applyFont="1" applyFill="1" applyAlignment="1">
      <alignment horizontal="center" vertical="center"/>
    </xf>
    <xf numFmtId="0" fontId="10" fillId="37" borderId="29" xfId="0" applyFont="1" applyFill="1" applyBorder="1" applyAlignment="1">
      <alignment horizontal="center" vertical="center"/>
    </xf>
    <xf numFmtId="173" fontId="14" fillId="33" borderId="27" xfId="0" applyNumberFormat="1" applyFont="1" applyFill="1" applyBorder="1" applyAlignment="1">
      <alignment horizontal="center" vertical="center" wrapText="1"/>
    </xf>
    <xf numFmtId="169" fontId="14" fillId="33" borderId="27" xfId="0" applyNumberFormat="1" applyFont="1" applyFill="1" applyBorder="1" applyAlignment="1">
      <alignment horizontal="center" vertical="center" wrapText="1"/>
    </xf>
    <xf numFmtId="0" fontId="14" fillId="7" borderId="0" xfId="0" applyFont="1" applyFill="1" applyAlignment="1">
      <alignment horizontal="center" vertical="center"/>
    </xf>
    <xf numFmtId="175" fontId="14" fillId="0" borderId="0" xfId="3" applyNumberFormat="1" applyFont="1" applyAlignment="1">
      <alignment horizontal="center" vertical="center" wrapText="1"/>
    </xf>
    <xf numFmtId="0" fontId="37" fillId="40" borderId="0" xfId="0" applyFont="1" applyFill="1" applyAlignment="1">
      <alignment vertical="top"/>
    </xf>
    <xf numFmtId="0" fontId="10" fillId="11" borderId="33" xfId="0" applyFont="1" applyFill="1" applyBorder="1" applyAlignment="1">
      <alignment horizontal="left" vertical="center" wrapText="1"/>
    </xf>
    <xf numFmtId="175" fontId="14" fillId="0" borderId="0" xfId="4" applyNumberFormat="1" applyFont="1" applyAlignment="1">
      <alignment horizontal="right" vertical="center" wrapText="1"/>
    </xf>
    <xf numFmtId="175" fontId="14" fillId="0" borderId="36" xfId="4" applyNumberFormat="1" applyFont="1" applyBorder="1" applyAlignment="1">
      <alignment horizontal="right" vertical="center" wrapText="1"/>
    </xf>
    <xf numFmtId="0" fontId="10" fillId="4" borderId="33" xfId="0" applyFont="1" applyFill="1" applyBorder="1" applyAlignment="1">
      <alignment vertical="center" wrapText="1"/>
    </xf>
    <xf numFmtId="0" fontId="36" fillId="9" borderId="0" xfId="0" applyFont="1" applyFill="1" applyAlignment="1">
      <alignment vertical="center" wrapText="1"/>
    </xf>
    <xf numFmtId="175" fontId="14" fillId="0" borderId="0" xfId="0" applyNumberFormat="1" applyFont="1" applyAlignment="1">
      <alignment horizontal="right" vertical="center" wrapText="1"/>
    </xf>
    <xf numFmtId="0" fontId="10" fillId="12" borderId="0" xfId="0" applyFont="1" applyFill="1" applyAlignment="1">
      <alignment vertical="center" wrapText="1"/>
    </xf>
    <xf numFmtId="0" fontId="36" fillId="10" borderId="0" xfId="0" applyFont="1" applyFill="1" applyAlignment="1">
      <alignment vertical="center" wrapText="1"/>
    </xf>
    <xf numFmtId="0" fontId="39" fillId="42" borderId="0" xfId="0" applyFont="1" applyFill="1" applyAlignment="1">
      <alignment horizontal="left" vertical="center"/>
    </xf>
    <xf numFmtId="0" fontId="21" fillId="62" borderId="27" xfId="0" applyFont="1" applyFill="1" applyBorder="1" applyAlignment="1">
      <alignment horizontal="center" vertical="center"/>
    </xf>
    <xf numFmtId="2" fontId="21" fillId="62" borderId="27" xfId="0" applyNumberFormat="1" applyFont="1" applyFill="1" applyBorder="1" applyAlignment="1">
      <alignment horizontal="center" vertical="center"/>
    </xf>
    <xf numFmtId="0" fontId="16" fillId="0" borderId="0" xfId="0" applyFont="1"/>
    <xf numFmtId="0" fontId="12" fillId="0" borderId="27" xfId="0" applyFont="1" applyBorder="1" applyAlignment="1">
      <alignment vertical="center" wrapText="1"/>
    </xf>
    <xf numFmtId="0" fontId="12" fillId="9" borderId="1" xfId="0" applyFont="1" applyFill="1" applyBorder="1" applyAlignment="1">
      <alignment horizontal="center"/>
    </xf>
    <xf numFmtId="0" fontId="12" fillId="9" borderId="1" xfId="0" applyFont="1" applyFill="1" applyBorder="1" applyAlignment="1">
      <alignment horizontal="center" vertical="center" wrapText="1"/>
    </xf>
    <xf numFmtId="0" fontId="12" fillId="9" borderId="1" xfId="0" applyFont="1" applyFill="1" applyBorder="1" applyAlignment="1">
      <alignment horizontal="center" wrapText="1"/>
    </xf>
    <xf numFmtId="0" fontId="12" fillId="0" borderId="1" xfId="0" applyFont="1" applyBorder="1" applyAlignment="1">
      <alignment horizontal="center" vertical="center"/>
    </xf>
    <xf numFmtId="172" fontId="16" fillId="42" borderId="1" xfId="0" applyNumberFormat="1" applyFont="1" applyFill="1" applyBorder="1" applyAlignment="1">
      <alignment horizontal="center" vertical="center"/>
    </xf>
    <xf numFmtId="175" fontId="16" fillId="42" borderId="1" xfId="0" applyNumberFormat="1" applyFont="1" applyFill="1" applyBorder="1" applyAlignment="1">
      <alignment horizontal="center" vertical="center"/>
    </xf>
    <xf numFmtId="0" fontId="12" fillId="0" borderId="1" xfId="0" applyFont="1" applyBorder="1" applyAlignment="1">
      <alignment vertical="center"/>
    </xf>
    <xf numFmtId="175" fontId="16" fillId="0" borderId="1" xfId="0" applyNumberFormat="1" applyFont="1" applyBorder="1" applyAlignment="1">
      <alignment horizontal="center" vertical="center"/>
    </xf>
    <xf numFmtId="3" fontId="16" fillId="0" borderId="1" xfId="0" applyNumberFormat="1" applyFont="1" applyBorder="1" applyAlignment="1">
      <alignment vertical="center"/>
    </xf>
    <xf numFmtId="0" fontId="16" fillId="0" borderId="1" xfId="0" applyFont="1" applyBorder="1" applyAlignment="1">
      <alignment horizontal="left" vertical="center" wrapText="1"/>
    </xf>
    <xf numFmtId="0" fontId="12" fillId="0" borderId="0" xfId="0" applyFont="1" applyAlignment="1">
      <alignment vertical="center"/>
    </xf>
    <xf numFmtId="3" fontId="16" fillId="0" borderId="0" xfId="0" applyNumberFormat="1" applyFont="1" applyAlignment="1">
      <alignment horizontal="center" vertical="center"/>
    </xf>
    <xf numFmtId="3" fontId="16" fillId="0" borderId="0" xfId="0" applyNumberFormat="1" applyFont="1" applyAlignment="1">
      <alignment vertical="center"/>
    </xf>
    <xf numFmtId="0" fontId="16" fillId="0" borderId="0" xfId="0" applyFont="1" applyAlignment="1">
      <alignment horizontal="left" vertical="center" wrapText="1"/>
    </xf>
    <xf numFmtId="0" fontId="12" fillId="0" borderId="1" xfId="0" applyFont="1" applyBorder="1" applyAlignment="1">
      <alignment horizontal="center" vertical="center" wrapText="1"/>
    </xf>
    <xf numFmtId="2" fontId="12" fillId="0" borderId="1" xfId="0" applyNumberFormat="1" applyFont="1" applyBorder="1" applyAlignment="1">
      <alignment horizontal="center" vertical="center"/>
    </xf>
    <xf numFmtId="0" fontId="12" fillId="0" borderId="29" xfId="0" applyFont="1" applyBorder="1" applyAlignment="1">
      <alignment horizontal="center" vertical="center"/>
    </xf>
    <xf numFmtId="0" fontId="12" fillId="0" borderId="27" xfId="0" applyFont="1" applyBorder="1" applyAlignment="1">
      <alignment horizontal="center" vertical="center"/>
    </xf>
    <xf numFmtId="0" fontId="16" fillId="0" borderId="27" xfId="0" applyFont="1" applyBorder="1" applyAlignment="1">
      <alignment horizontal="center" vertical="center"/>
    </xf>
    <xf numFmtId="175" fontId="12" fillId="0" borderId="31" xfId="4" applyNumberFormat="1" applyFont="1" applyBorder="1" applyAlignment="1">
      <alignment horizontal="center" vertical="center"/>
    </xf>
    <xf numFmtId="170" fontId="12" fillId="0" borderId="0" xfId="0" applyNumberFormat="1" applyFont="1" applyAlignment="1">
      <alignment horizontal="center" vertical="center"/>
    </xf>
    <xf numFmtId="0" fontId="12" fillId="0" borderId="55" xfId="0" applyFont="1" applyBorder="1" applyAlignment="1">
      <alignment horizontal="center" vertical="center"/>
    </xf>
    <xf numFmtId="175" fontId="12" fillId="0" borderId="58" xfId="4" applyNumberFormat="1" applyFont="1" applyBorder="1" applyAlignment="1">
      <alignment horizontal="center" vertical="center"/>
    </xf>
    <xf numFmtId="0" fontId="16" fillId="0" borderId="1" xfId="0" applyFont="1" applyBorder="1" applyAlignment="1">
      <alignment horizontal="right" indent="1"/>
    </xf>
    <xf numFmtId="175" fontId="16" fillId="0" borderId="1" xfId="0" applyNumberFormat="1" applyFont="1" applyBorder="1"/>
    <xf numFmtId="0" fontId="6" fillId="0" borderId="13" xfId="0" applyFont="1" applyBorder="1" applyAlignment="1">
      <alignment horizontal="center" vertical="center"/>
    </xf>
    <xf numFmtId="1" fontId="6" fillId="0" borderId="1" xfId="0" applyNumberFormat="1" applyFont="1" applyBorder="1" applyAlignment="1">
      <alignment horizontal="center" vertical="center"/>
    </xf>
    <xf numFmtId="0" fontId="40" fillId="53" borderId="29" xfId="0" applyFont="1" applyFill="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40" fillId="54" borderId="29" xfId="0" applyFont="1" applyFill="1" applyBorder="1" applyAlignment="1">
      <alignment horizontal="center" vertical="center"/>
    </xf>
    <xf numFmtId="0" fontId="2" fillId="0" borderId="1" xfId="0" applyFont="1" applyBorder="1" applyAlignment="1">
      <alignment horizontal="center" vertical="center"/>
    </xf>
    <xf numFmtId="3" fontId="16" fillId="0" borderId="1" xfId="0" applyNumberFormat="1" applyFont="1" applyBorder="1" applyAlignment="1">
      <alignment horizontal="center" vertical="center"/>
    </xf>
    <xf numFmtId="3" fontId="0" fillId="0" borderId="0" xfId="2" applyNumberFormat="1" applyFont="1"/>
    <xf numFmtId="3" fontId="6" fillId="0" borderId="1" xfId="0" applyNumberFormat="1" applyFont="1" applyBorder="1" applyAlignment="1">
      <alignment horizontal="center" vertical="center"/>
    </xf>
    <xf numFmtId="3" fontId="6" fillId="0" borderId="0" xfId="0" applyNumberFormat="1" applyFont="1" applyAlignment="1">
      <alignment horizontal="center" vertical="center"/>
    </xf>
    <xf numFmtId="0" fontId="12" fillId="40" borderId="42" xfId="0" applyFont="1" applyFill="1" applyBorder="1" applyAlignment="1">
      <alignment vertical="center"/>
    </xf>
    <xf numFmtId="0" fontId="12" fillId="0" borderId="1" xfId="0" applyFont="1" applyBorder="1" applyAlignment="1">
      <alignment horizontal="left" vertical="center"/>
    </xf>
    <xf numFmtId="1" fontId="12" fillId="0" borderId="1" xfId="0" applyNumberFormat="1" applyFont="1" applyBorder="1" applyAlignment="1">
      <alignment horizontal="center" vertical="center"/>
    </xf>
    <xf numFmtId="0" fontId="16" fillId="0" borderId="0" xfId="0" applyFont="1" applyAlignment="1">
      <alignment vertical="center"/>
    </xf>
    <xf numFmtId="0" fontId="12" fillId="40" borderId="70" xfId="0" applyFont="1" applyFill="1" applyBorder="1" applyAlignment="1">
      <alignment vertical="center"/>
    </xf>
    <xf numFmtId="0" fontId="12" fillId="40" borderId="63" xfId="0" applyFont="1" applyFill="1" applyBorder="1" applyAlignment="1">
      <alignment vertical="center"/>
    </xf>
    <xf numFmtId="0" fontId="6" fillId="0" borderId="0" xfId="0" applyFont="1" applyAlignment="1">
      <alignment horizontal="center" vertical="center"/>
    </xf>
    <xf numFmtId="165" fontId="12" fillId="0" borderId="0" xfId="0" applyNumberFormat="1" applyFont="1" applyAlignment="1">
      <alignment horizontal="center" vertical="center"/>
    </xf>
    <xf numFmtId="3" fontId="2" fillId="0" borderId="0" xfId="0" applyNumberFormat="1" applyFont="1" applyAlignment="1">
      <alignment horizontal="right" vertical="center"/>
    </xf>
    <xf numFmtId="0" fontId="12" fillId="15" borderId="38" xfId="0" applyFont="1" applyFill="1" applyBorder="1" applyAlignment="1">
      <alignment horizontal="center" vertical="center" wrapText="1"/>
    </xf>
    <xf numFmtId="0" fontId="12" fillId="0" borderId="27" xfId="0" applyFont="1" applyBorder="1" applyAlignment="1">
      <alignment horizontal="center" vertical="center" wrapText="1"/>
    </xf>
    <xf numFmtId="0" fontId="12" fillId="2" borderId="25" xfId="0" applyFont="1" applyFill="1" applyBorder="1" applyAlignment="1">
      <alignment horizontal="center" vertical="center" wrapText="1"/>
    </xf>
    <xf numFmtId="3" fontId="31" fillId="22" borderId="1" xfId="0" applyNumberFormat="1" applyFont="1" applyFill="1" applyBorder="1" applyAlignment="1">
      <alignment horizontal="center" vertical="center" wrapText="1"/>
    </xf>
    <xf numFmtId="3" fontId="16" fillId="0" borderId="0" xfId="0" applyNumberFormat="1" applyFont="1" applyAlignment="1">
      <alignment horizontal="center" vertical="center" wrapText="1"/>
    </xf>
    <xf numFmtId="3" fontId="16" fillId="17" borderId="42" xfId="0" applyNumberFormat="1" applyFont="1" applyFill="1" applyBorder="1" applyAlignment="1">
      <alignment horizontal="center" vertical="center" wrapText="1"/>
    </xf>
    <xf numFmtId="3" fontId="31" fillId="22" borderId="2" xfId="0" applyNumberFormat="1" applyFont="1" applyFill="1" applyBorder="1" applyAlignment="1">
      <alignment horizontal="center" vertical="center" wrapText="1"/>
    </xf>
    <xf numFmtId="0" fontId="44" fillId="0" borderId="1" xfId="0" applyFont="1" applyBorder="1"/>
    <xf numFmtId="3" fontId="44" fillId="0" borderId="1" xfId="0" applyNumberFormat="1" applyFont="1" applyBorder="1" applyAlignment="1">
      <alignment horizontal="center"/>
    </xf>
    <xf numFmtId="0" fontId="44" fillId="33" borderId="27" xfId="0" applyFont="1" applyFill="1" applyBorder="1"/>
    <xf numFmtId="1" fontId="44" fillId="0" borderId="27" xfId="0" applyNumberFormat="1" applyFont="1" applyBorder="1" applyAlignment="1">
      <alignment horizontal="center" vertical="center"/>
    </xf>
    <xf numFmtId="0" fontId="0" fillId="33" borderId="27" xfId="0" applyFill="1" applyBorder="1"/>
    <xf numFmtId="1" fontId="0" fillId="0" borderId="27" xfId="0" applyNumberFormat="1" applyBorder="1" applyAlignment="1">
      <alignment horizontal="center" vertical="center"/>
    </xf>
    <xf numFmtId="3" fontId="25" fillId="0" borderId="0" xfId="0" applyNumberFormat="1" applyFont="1" applyAlignment="1">
      <alignment horizontal="center" vertical="center" wrapText="1"/>
    </xf>
    <xf numFmtId="9" fontId="0" fillId="0" borderId="0" xfId="0" applyNumberFormat="1"/>
    <xf numFmtId="0" fontId="6" fillId="0" borderId="0" xfId="0" applyFont="1" applyAlignment="1">
      <alignment horizontal="center" vertical="center" wrapText="1"/>
    </xf>
    <xf numFmtId="168" fontId="0" fillId="0" borderId="0" xfId="0" applyNumberFormat="1" applyAlignment="1">
      <alignment horizontal="center" vertical="center"/>
    </xf>
    <xf numFmtId="0" fontId="0" fillId="26" borderId="0" xfId="0" applyFill="1"/>
    <xf numFmtId="0" fontId="0" fillId="0" borderId="0" xfId="0" applyAlignment="1">
      <alignment vertical="center"/>
    </xf>
    <xf numFmtId="0" fontId="0" fillId="0" borderId="0" xfId="0" applyAlignment="1">
      <alignment horizontal="center" vertical="center"/>
    </xf>
    <xf numFmtId="0" fontId="0" fillId="26" borderId="0" xfId="0" applyFill="1" applyAlignment="1">
      <alignment horizontal="center" vertical="center"/>
    </xf>
    <xf numFmtId="173" fontId="16" fillId="3" borderId="43" xfId="4" applyNumberFormat="1" applyFont="1" applyFill="1" applyBorder="1" applyAlignment="1">
      <alignment horizontal="center" vertical="center"/>
    </xf>
    <xf numFmtId="173" fontId="12" fillId="39" borderId="53" xfId="4" applyNumberFormat="1" applyFont="1" applyFill="1" applyBorder="1" applyAlignment="1">
      <alignment horizontal="right" vertical="center"/>
    </xf>
    <xf numFmtId="173" fontId="16" fillId="53" borderId="41" xfId="4" applyNumberFormat="1" applyFont="1" applyFill="1" applyBorder="1" applyAlignment="1">
      <alignment horizontal="center" vertical="center"/>
    </xf>
    <xf numFmtId="173" fontId="12" fillId="0" borderId="46" xfId="4" applyNumberFormat="1" applyFont="1" applyBorder="1" applyAlignment="1">
      <alignment vertical="center"/>
    </xf>
    <xf numFmtId="173" fontId="16" fillId="3" borderId="72" xfId="4" applyNumberFormat="1" applyFont="1" applyFill="1" applyBorder="1" applyAlignment="1">
      <alignment horizontal="center" vertical="center"/>
    </xf>
    <xf numFmtId="173" fontId="16" fillId="53" borderId="72" xfId="4" applyNumberFormat="1" applyFont="1" applyFill="1" applyBorder="1" applyAlignment="1">
      <alignment horizontal="center" vertical="center"/>
    </xf>
    <xf numFmtId="0" fontId="12" fillId="0" borderId="0" xfId="0" applyFont="1" applyAlignment="1">
      <alignment vertical="center" wrapText="1"/>
    </xf>
    <xf numFmtId="0" fontId="12" fillId="0" borderId="0" xfId="0" applyFont="1" applyAlignment="1">
      <alignment horizontal="left" wrapText="1"/>
    </xf>
    <xf numFmtId="0" fontId="16" fillId="0" borderId="0" xfId="0" applyFont="1" applyAlignment="1">
      <alignment vertical="center" wrapText="1"/>
    </xf>
    <xf numFmtId="0" fontId="12" fillId="9" borderId="27" xfId="0" applyFont="1" applyFill="1" applyBorder="1" applyAlignment="1">
      <alignment horizontal="left" vertical="center"/>
    </xf>
    <xf numFmtId="175" fontId="12" fillId="0" borderId="1" xfId="4" applyNumberFormat="1" applyFont="1" applyBorder="1" applyAlignment="1">
      <alignment horizontal="right" vertical="center"/>
    </xf>
    <xf numFmtId="0" fontId="17" fillId="0" borderId="0" xfId="0" applyFont="1" applyAlignment="1">
      <alignment horizontal="left" vertical="center"/>
    </xf>
    <xf numFmtId="165" fontId="28" fillId="0" borderId="0" xfId="0" applyNumberFormat="1" applyFont="1" applyAlignment="1">
      <alignment horizontal="center" vertical="center"/>
    </xf>
    <xf numFmtId="165" fontId="12" fillId="0" borderId="0" xfId="0" applyNumberFormat="1" applyFont="1" applyAlignment="1">
      <alignment vertical="center"/>
    </xf>
    <xf numFmtId="0" fontId="12" fillId="41" borderId="27" xfId="0" applyFont="1" applyFill="1" applyBorder="1" applyAlignment="1">
      <alignment horizontal="left" vertical="center"/>
    </xf>
    <xf numFmtId="165" fontId="17" fillId="0" borderId="0" xfId="0" applyNumberFormat="1" applyFont="1" applyAlignment="1">
      <alignment horizontal="center" vertical="center"/>
    </xf>
    <xf numFmtId="165" fontId="12" fillId="0" borderId="0" xfId="0" applyNumberFormat="1" applyFont="1"/>
    <xf numFmtId="0" fontId="16" fillId="10" borderId="6" xfId="0" applyFont="1" applyFill="1" applyBorder="1" applyAlignment="1">
      <alignment vertical="center"/>
    </xf>
    <xf numFmtId="0" fontId="16" fillId="7" borderId="1" xfId="0" applyFont="1" applyFill="1" applyBorder="1" applyAlignment="1">
      <alignment vertical="center"/>
    </xf>
    <xf numFmtId="165" fontId="12" fillId="0" borderId="0" xfId="0" applyNumberFormat="1" applyFont="1" applyAlignment="1">
      <alignment horizontal="center" vertical="center" wrapText="1"/>
    </xf>
    <xf numFmtId="175" fontId="12" fillId="33" borderId="1" xfId="0" applyNumberFormat="1" applyFont="1" applyFill="1" applyBorder="1" applyAlignment="1">
      <alignment horizontal="center" vertical="center"/>
    </xf>
    <xf numFmtId="3" fontId="16" fillId="17" borderId="1" xfId="0" applyNumberFormat="1" applyFont="1" applyFill="1" applyBorder="1" applyAlignment="1">
      <alignment horizontal="center" vertical="center" wrapText="1"/>
    </xf>
    <xf numFmtId="10" fontId="12" fillId="0" borderId="1" xfId="0" applyNumberFormat="1" applyFont="1" applyBorder="1" applyAlignment="1">
      <alignment horizontal="center" vertical="center"/>
    </xf>
    <xf numFmtId="0" fontId="16" fillId="5" borderId="1" xfId="0" applyFont="1" applyFill="1" applyBorder="1" applyAlignment="1">
      <alignment horizontal="center" vertical="center"/>
    </xf>
    <xf numFmtId="0" fontId="16" fillId="44" borderId="29" xfId="0" applyFont="1" applyFill="1" applyBorder="1" applyAlignment="1">
      <alignment horizontal="center" vertical="center"/>
    </xf>
    <xf numFmtId="3" fontId="12" fillId="0" borderId="1" xfId="0" applyNumberFormat="1" applyFont="1" applyBorder="1" applyAlignment="1">
      <alignment horizontal="center" vertical="center"/>
    </xf>
    <xf numFmtId="173" fontId="12" fillId="0" borderId="1" xfId="4" applyNumberFormat="1" applyFont="1" applyBorder="1" applyAlignment="1">
      <alignment horizontal="right" vertical="center"/>
    </xf>
    <xf numFmtId="165" fontId="12" fillId="0" borderId="1" xfId="0" applyNumberFormat="1" applyFont="1" applyBorder="1" applyAlignment="1">
      <alignment horizontal="center" vertical="center"/>
    </xf>
    <xf numFmtId="0" fontId="12" fillId="55" borderId="0" xfId="0" applyFont="1" applyFill="1"/>
    <xf numFmtId="173" fontId="12" fillId="0" borderId="0" xfId="4" applyNumberFormat="1" applyFont="1"/>
    <xf numFmtId="169" fontId="12" fillId="0" borderId="1" xfId="0" applyNumberFormat="1" applyFont="1" applyBorder="1" applyAlignment="1">
      <alignment horizontal="center" vertical="center"/>
    </xf>
    <xf numFmtId="0" fontId="12" fillId="7" borderId="27" xfId="0" applyFont="1" applyFill="1" applyBorder="1" applyAlignment="1">
      <alignment horizontal="center" vertical="center" wrapText="1"/>
    </xf>
    <xf numFmtId="0" fontId="28" fillId="0" borderId="27" xfId="0" applyFont="1" applyBorder="1" applyAlignment="1">
      <alignment horizontal="center" vertical="center"/>
    </xf>
    <xf numFmtId="0" fontId="12" fillId="0" borderId="51" xfId="0" applyFont="1" applyBorder="1" applyAlignment="1">
      <alignment horizontal="center" vertical="center"/>
    </xf>
    <xf numFmtId="0" fontId="16" fillId="0" borderId="6" xfId="0" applyFont="1" applyBorder="1" applyAlignment="1">
      <alignment horizontal="center" vertical="center" wrapText="1"/>
    </xf>
    <xf numFmtId="170" fontId="12" fillId="23" borderId="1" xfId="0" applyNumberFormat="1" applyFont="1" applyFill="1" applyBorder="1" applyAlignment="1">
      <alignment horizontal="center" vertical="center" wrapText="1"/>
    </xf>
    <xf numFmtId="0" fontId="16" fillId="5" borderId="1" xfId="0" applyFont="1" applyFill="1" applyBorder="1" applyAlignment="1">
      <alignment vertical="center" wrapText="1"/>
    </xf>
    <xf numFmtId="165" fontId="12" fillId="11" borderId="1" xfId="0" applyNumberFormat="1" applyFont="1" applyFill="1" applyBorder="1" applyAlignment="1">
      <alignment horizontal="right" vertical="center" wrapText="1"/>
    </xf>
    <xf numFmtId="0" fontId="16" fillId="11" borderId="1" xfId="0" applyFont="1" applyFill="1" applyBorder="1" applyAlignment="1">
      <alignment horizontal="left" vertical="center" wrapText="1"/>
    </xf>
    <xf numFmtId="175" fontId="12" fillId="0" borderId="1" xfId="0" applyNumberFormat="1" applyFont="1" applyBorder="1" applyAlignment="1">
      <alignment horizontal="right" vertical="center" wrapText="1"/>
    </xf>
    <xf numFmtId="0" fontId="16" fillId="8" borderId="1" xfId="0" applyFont="1" applyFill="1" applyBorder="1" applyAlignment="1">
      <alignment vertical="center" wrapText="1"/>
    </xf>
    <xf numFmtId="175" fontId="12" fillId="42" borderId="1" xfId="0" applyNumberFormat="1" applyFont="1" applyFill="1" applyBorder="1" applyAlignment="1">
      <alignment horizontal="right" vertical="center" wrapText="1"/>
    </xf>
    <xf numFmtId="0" fontId="16" fillId="26" borderId="26" xfId="0" applyFont="1" applyFill="1" applyBorder="1" applyAlignment="1">
      <alignment horizontal="left" vertical="center"/>
    </xf>
    <xf numFmtId="173" fontId="35" fillId="0" borderId="25" xfId="4" applyNumberFormat="1" applyFont="1" applyBorder="1" applyAlignment="1">
      <alignment horizontal="center" vertical="center"/>
    </xf>
    <xf numFmtId="175" fontId="12" fillId="40" borderId="1" xfId="0" applyNumberFormat="1" applyFont="1" applyFill="1" applyBorder="1" applyAlignment="1">
      <alignment horizontal="center" vertical="center"/>
    </xf>
    <xf numFmtId="175" fontId="12" fillId="0" borderId="1" xfId="0" applyNumberFormat="1" applyFont="1" applyBorder="1" applyAlignment="1">
      <alignment horizontal="center" vertical="center"/>
    </xf>
    <xf numFmtId="0" fontId="16" fillId="6" borderId="1" xfId="0" applyFont="1" applyFill="1" applyBorder="1" applyAlignment="1">
      <alignment horizontal="center" vertical="center"/>
    </xf>
    <xf numFmtId="0" fontId="16" fillId="8" borderId="1" xfId="0" applyFont="1" applyFill="1" applyBorder="1" applyAlignment="1">
      <alignment horizontal="right" vertical="center" wrapText="1"/>
    </xf>
    <xf numFmtId="0" fontId="16" fillId="3" borderId="1" xfId="0" applyFont="1" applyFill="1" applyBorder="1" applyAlignment="1">
      <alignment horizontal="center" vertical="center" wrapText="1"/>
    </xf>
    <xf numFmtId="0" fontId="16" fillId="10" borderId="1" xfId="0" applyFont="1" applyFill="1" applyBorder="1" applyAlignment="1">
      <alignment horizontal="left" vertical="center" wrapText="1"/>
    </xf>
    <xf numFmtId="175" fontId="12" fillId="0" borderId="1" xfId="0" applyNumberFormat="1" applyFont="1" applyBorder="1" applyAlignment="1">
      <alignment horizontal="center" vertical="center" wrapText="1"/>
    </xf>
    <xf numFmtId="0" fontId="16" fillId="2" borderId="1" xfId="0" applyFont="1" applyFill="1" applyBorder="1" applyAlignment="1">
      <alignment horizontal="center" vertical="center" wrapText="1"/>
    </xf>
    <xf numFmtId="175" fontId="12" fillId="0" borderId="1" xfId="0" applyNumberFormat="1" applyFont="1" applyBorder="1" applyAlignment="1">
      <alignment vertical="center"/>
    </xf>
    <xf numFmtId="175" fontId="12" fillId="0" borderId="1" xfId="0" applyNumberFormat="1" applyFont="1" applyBorder="1" applyAlignment="1">
      <alignment horizontal="right" vertical="center"/>
    </xf>
    <xf numFmtId="0" fontId="12" fillId="0" borderId="0" xfId="0" applyFont="1" applyAlignment="1">
      <alignment horizontal="left" vertical="center" wrapText="1"/>
    </xf>
    <xf numFmtId="0" fontId="16" fillId="37" borderId="1" xfId="0" applyFont="1" applyFill="1" applyBorder="1" applyAlignment="1">
      <alignment horizontal="center" vertical="center"/>
    </xf>
    <xf numFmtId="173" fontId="35" fillId="22" borderId="1" xfId="0" applyNumberFormat="1" applyFont="1" applyFill="1" applyBorder="1" applyAlignment="1">
      <alignment horizontal="center" vertical="center"/>
    </xf>
    <xf numFmtId="0" fontId="16" fillId="25" borderId="1" xfId="0" applyFont="1" applyFill="1" applyBorder="1" applyAlignment="1">
      <alignment horizontal="center" vertical="center"/>
    </xf>
    <xf numFmtId="0" fontId="45" fillId="0" borderId="0" xfId="0" applyFont="1"/>
    <xf numFmtId="0" fontId="28" fillId="0" borderId="0" xfId="0" applyFont="1"/>
    <xf numFmtId="0" fontId="46" fillId="0" borderId="0" xfId="0" applyFont="1"/>
    <xf numFmtId="0" fontId="12" fillId="0" borderId="28" xfId="0" applyFont="1" applyBorder="1" applyAlignment="1">
      <alignment horizontal="center" vertical="center"/>
    </xf>
    <xf numFmtId="0" fontId="12" fillId="22" borderId="51" xfId="0" applyFont="1" applyFill="1" applyBorder="1" applyAlignment="1">
      <alignment horizontal="center" vertical="center"/>
    </xf>
    <xf numFmtId="0" fontId="16" fillId="0" borderId="59" xfId="0" applyFont="1" applyBorder="1" applyAlignment="1">
      <alignment horizontal="center" vertical="center" wrapText="1"/>
    </xf>
    <xf numFmtId="0" fontId="16" fillId="0" borderId="29" xfId="0" applyFont="1" applyBorder="1" applyAlignment="1">
      <alignment horizontal="center" vertical="center"/>
    </xf>
    <xf numFmtId="0" fontId="16" fillId="0" borderId="28" xfId="0" applyFont="1" applyBorder="1" applyAlignment="1">
      <alignment horizontal="center" vertical="center"/>
    </xf>
    <xf numFmtId="3" fontId="12" fillId="39" borderId="51" xfId="0" applyNumberFormat="1" applyFont="1" applyFill="1" applyBorder="1" applyAlignment="1">
      <alignment horizontal="center" vertical="center"/>
    </xf>
    <xf numFmtId="175" fontId="31" fillId="22" borderId="27" xfId="0" applyNumberFormat="1" applyFont="1" applyFill="1" applyBorder="1" applyAlignment="1">
      <alignment vertical="center" wrapText="1"/>
    </xf>
    <xf numFmtId="175" fontId="16" fillId="0" borderId="27" xfId="4" applyNumberFormat="1" applyFont="1" applyBorder="1" applyAlignment="1">
      <alignment horizontal="center" vertical="center"/>
    </xf>
    <xf numFmtId="0" fontId="47" fillId="0" borderId="0" xfId="0" applyFont="1"/>
    <xf numFmtId="0" fontId="12" fillId="12" borderId="0" xfId="0" applyFont="1" applyFill="1"/>
    <xf numFmtId="0" fontId="12" fillId="12" borderId="0" xfId="0" applyFont="1" applyFill="1" applyAlignment="1">
      <alignment horizontal="center"/>
    </xf>
    <xf numFmtId="0" fontId="12" fillId="12" borderId="0" xfId="0" applyFont="1" applyFill="1" applyAlignment="1">
      <alignment horizontal="left" indent="3"/>
    </xf>
    <xf numFmtId="0" fontId="50" fillId="12" borderId="0" xfId="0" applyFont="1" applyFill="1"/>
    <xf numFmtId="0" fontId="12" fillId="0" borderId="0" xfId="2" applyFont="1"/>
    <xf numFmtId="0" fontId="12" fillId="46" borderId="0" xfId="0" applyFont="1" applyFill="1"/>
    <xf numFmtId="0" fontId="16" fillId="0" borderId="19" xfId="0" applyFont="1" applyBorder="1" applyAlignment="1">
      <alignment vertical="center" wrapText="1"/>
    </xf>
    <xf numFmtId="0" fontId="16" fillId="0" borderId="8" xfId="0" applyFont="1" applyBorder="1" applyAlignment="1">
      <alignment vertical="center" wrapText="1"/>
    </xf>
    <xf numFmtId="0" fontId="12" fillId="46" borderId="0" xfId="0" applyFont="1" applyFill="1" applyAlignment="1">
      <alignment vertical="center" wrapText="1"/>
    </xf>
    <xf numFmtId="0" fontId="12" fillId="33" borderId="0" xfId="0" applyFont="1" applyFill="1"/>
    <xf numFmtId="0" fontId="14" fillId="36" borderId="0" xfId="0" applyFont="1" applyFill="1" applyAlignment="1">
      <alignment horizontal="left"/>
    </xf>
    <xf numFmtId="0" fontId="10" fillId="31" borderId="0" xfId="0" applyFont="1" applyFill="1" applyAlignment="1">
      <alignment horizontal="center" vertical="center"/>
    </xf>
    <xf numFmtId="0" fontId="10" fillId="31" borderId="36" xfId="0" applyFont="1" applyFill="1" applyBorder="1" applyAlignment="1">
      <alignment horizontal="center" vertical="center"/>
    </xf>
    <xf numFmtId="0" fontId="38" fillId="36" borderId="0" xfId="0" applyFont="1" applyFill="1"/>
    <xf numFmtId="0" fontId="14" fillId="44" borderId="0" xfId="0" applyFont="1" applyFill="1" applyAlignment="1">
      <alignment horizontal="center" vertical="center"/>
    </xf>
    <xf numFmtId="3" fontId="10" fillId="17" borderId="56" xfId="0" applyNumberFormat="1" applyFont="1" applyFill="1" applyBorder="1" applyAlignment="1">
      <alignment horizontal="center" vertical="center" wrapText="1"/>
    </xf>
    <xf numFmtId="0" fontId="10" fillId="5" borderId="56" xfId="0" applyFont="1" applyFill="1" applyBorder="1" applyAlignment="1">
      <alignment horizontal="center" vertical="center"/>
    </xf>
    <xf numFmtId="0" fontId="10" fillId="6" borderId="56" xfId="0" applyFont="1" applyFill="1" applyBorder="1" applyAlignment="1">
      <alignment horizontal="center" vertical="center" wrapText="1"/>
    </xf>
    <xf numFmtId="0" fontId="10" fillId="44" borderId="56" xfId="0" applyFont="1" applyFill="1" applyBorder="1" applyAlignment="1">
      <alignment horizontal="center" vertical="center"/>
    </xf>
    <xf numFmtId="0" fontId="10" fillId="37" borderId="73" xfId="0" applyFont="1" applyFill="1" applyBorder="1" applyAlignment="1">
      <alignment horizontal="center" vertical="center"/>
    </xf>
    <xf numFmtId="0" fontId="10" fillId="37" borderId="56" xfId="0" applyFont="1" applyFill="1" applyBorder="1" applyAlignment="1">
      <alignment horizontal="center" vertical="center"/>
    </xf>
    <xf numFmtId="0" fontId="14" fillId="42" borderId="0" xfId="0" applyFont="1" applyFill="1" applyAlignment="1">
      <alignment horizontal="center" vertical="center" wrapText="1"/>
    </xf>
    <xf numFmtId="0" fontId="14" fillId="37" borderId="33" xfId="0" applyFont="1" applyFill="1" applyBorder="1" applyAlignment="1">
      <alignment horizontal="center" vertical="center"/>
    </xf>
    <xf numFmtId="0" fontId="13" fillId="37" borderId="0" xfId="0" applyFont="1" applyFill="1" applyAlignment="1">
      <alignment horizontal="center" vertical="top"/>
    </xf>
    <xf numFmtId="0" fontId="12" fillId="37" borderId="0" xfId="0" applyFont="1" applyFill="1" applyAlignment="1">
      <alignment wrapText="1"/>
    </xf>
    <xf numFmtId="0" fontId="19" fillId="37" borderId="0" xfId="0" applyFont="1" applyFill="1" applyAlignment="1">
      <alignment vertical="center"/>
    </xf>
    <xf numFmtId="0" fontId="19" fillId="37" borderId="0" xfId="0" applyFont="1" applyFill="1"/>
    <xf numFmtId="0" fontId="51" fillId="37" borderId="0" xfId="0" applyFont="1" applyFill="1" applyAlignment="1">
      <alignment vertical="center"/>
    </xf>
    <xf numFmtId="166" fontId="11" fillId="37" borderId="0" xfId="0" applyNumberFormat="1" applyFont="1" applyFill="1" applyAlignment="1">
      <alignment horizontal="center"/>
    </xf>
    <xf numFmtId="3" fontId="52" fillId="37" borderId="0" xfId="0" applyNumberFormat="1" applyFont="1" applyFill="1" applyAlignment="1">
      <alignment horizontal="center" vertical="center"/>
    </xf>
    <xf numFmtId="0" fontId="53" fillId="37" borderId="0" xfId="0" applyFont="1" applyFill="1"/>
    <xf numFmtId="0" fontId="54" fillId="37" borderId="0" xfId="0" applyFont="1" applyFill="1"/>
    <xf numFmtId="3" fontId="12" fillId="0" borderId="0" xfId="0" applyNumberFormat="1" applyFont="1" applyAlignment="1">
      <alignment horizontal="center" vertical="center"/>
    </xf>
    <xf numFmtId="3" fontId="12" fillId="39" borderId="1" xfId="0" applyNumberFormat="1" applyFont="1" applyFill="1" applyBorder="1" applyAlignment="1">
      <alignment horizontal="center" vertical="center"/>
    </xf>
    <xf numFmtId="3" fontId="12" fillId="39" borderId="45" xfId="0" applyNumberFormat="1" applyFont="1" applyFill="1" applyBorder="1" applyAlignment="1">
      <alignment horizontal="center" vertical="center"/>
    </xf>
    <xf numFmtId="0" fontId="40" fillId="54" borderId="27" xfId="0" applyFont="1" applyFill="1" applyBorder="1" applyAlignment="1">
      <alignment horizontal="center" vertical="center"/>
    </xf>
    <xf numFmtId="0" fontId="40" fillId="53" borderId="27" xfId="0" applyFont="1" applyFill="1" applyBorder="1" applyAlignment="1">
      <alignment horizontal="center" vertical="center"/>
    </xf>
    <xf numFmtId="9" fontId="12" fillId="0" borderId="0" xfId="0" applyNumberFormat="1" applyFont="1" applyAlignment="1">
      <alignment horizontal="center" vertical="center"/>
    </xf>
    <xf numFmtId="0" fontId="12" fillId="12" borderId="29" xfId="0" applyFont="1" applyFill="1" applyBorder="1" applyAlignment="1">
      <alignment horizontal="center" vertical="center" indent="1"/>
    </xf>
    <xf numFmtId="0" fontId="12" fillId="12" borderId="27" xfId="0" applyFont="1" applyFill="1" applyBorder="1" applyAlignment="1">
      <alignment horizontal="center" vertical="center" indent="1"/>
    </xf>
    <xf numFmtId="0" fontId="12" fillId="37" borderId="28" xfId="0" applyFont="1" applyFill="1" applyBorder="1" applyAlignment="1">
      <alignment horizontal="center" vertical="center"/>
    </xf>
    <xf numFmtId="0" fontId="12" fillId="37" borderId="27" xfId="0" applyFont="1" applyFill="1" applyBorder="1" applyAlignment="1">
      <alignment horizontal="left" vertical="center"/>
    </xf>
    <xf numFmtId="0" fontId="12" fillId="0" borderId="0" xfId="0" applyFont="1" applyAlignment="1">
      <alignment horizontal="center" vertical="center" indent="1"/>
    </xf>
    <xf numFmtId="166" fontId="12" fillId="39" borderId="1" xfId="0" applyNumberFormat="1" applyFont="1" applyFill="1" applyBorder="1" applyAlignment="1">
      <alignment horizontal="center" vertical="center"/>
    </xf>
    <xf numFmtId="0" fontId="12" fillId="37" borderId="29" xfId="0" applyFont="1" applyFill="1" applyBorder="1" applyAlignment="1">
      <alignment horizontal="center" vertical="center"/>
    </xf>
    <xf numFmtId="0" fontId="12" fillId="37" borderId="27" xfId="0" applyFont="1" applyFill="1" applyBorder="1" applyAlignment="1">
      <alignment horizontal="center" vertical="center"/>
    </xf>
    <xf numFmtId="9" fontId="12" fillId="0" borderId="0" xfId="3" applyFont="1"/>
    <xf numFmtId="167" fontId="12" fillId="0" borderId="0" xfId="0" applyNumberFormat="1" applyFont="1"/>
    <xf numFmtId="0" fontId="12" fillId="43" borderId="0" xfId="0" applyFont="1" applyFill="1"/>
    <xf numFmtId="0" fontId="12" fillId="8" borderId="0" xfId="0" applyFont="1" applyFill="1" applyAlignment="1">
      <alignment horizontal="center" vertical="center"/>
    </xf>
    <xf numFmtId="2" fontId="12" fillId="39" borderId="38" xfId="0" applyNumberFormat="1" applyFont="1" applyFill="1" applyBorder="1" applyAlignment="1">
      <alignment horizontal="center" vertical="center"/>
    </xf>
    <xf numFmtId="3" fontId="12" fillId="0" borderId="29" xfId="0" applyNumberFormat="1" applyFont="1" applyBorder="1" applyAlignment="1">
      <alignment horizontal="center" vertical="center" wrapText="1"/>
    </xf>
    <xf numFmtId="0" fontId="12" fillId="7" borderId="27" xfId="0" applyFont="1" applyFill="1" applyBorder="1" applyAlignment="1">
      <alignment horizontal="left" vertical="center" wrapText="1"/>
    </xf>
    <xf numFmtId="2" fontId="12" fillId="39" borderId="27" xfId="0" applyNumberFormat="1" applyFont="1" applyFill="1" applyBorder="1" applyAlignment="1">
      <alignment horizontal="center" vertical="center"/>
    </xf>
    <xf numFmtId="10" fontId="12" fillId="39" borderId="27" xfId="0" applyNumberFormat="1" applyFont="1" applyFill="1" applyBorder="1" applyAlignment="1">
      <alignment horizontal="center" vertical="center"/>
    </xf>
    <xf numFmtId="0" fontId="12" fillId="7" borderId="27" xfId="0" applyFont="1" applyFill="1" applyBorder="1" applyAlignment="1">
      <alignment horizontal="left" vertical="center"/>
    </xf>
    <xf numFmtId="0" fontId="12" fillId="0" borderId="0" xfId="0" applyFont="1" applyAlignment="1">
      <alignment horizontal="left" vertical="center"/>
    </xf>
    <xf numFmtId="0" fontId="12" fillId="0" borderId="44" xfId="0" applyFont="1" applyBorder="1" applyAlignment="1">
      <alignment horizontal="center" vertical="center"/>
    </xf>
    <xf numFmtId="0" fontId="12" fillId="16" borderId="1" xfId="0" applyFont="1" applyFill="1" applyBorder="1" applyAlignment="1">
      <alignment horizontal="center" vertical="center"/>
    </xf>
    <xf numFmtId="0" fontId="12" fillId="0" borderId="1" xfId="0" applyFont="1" applyBorder="1"/>
    <xf numFmtId="9" fontId="12" fillId="0" borderId="1" xfId="3" applyFont="1" applyBorder="1"/>
    <xf numFmtId="171" fontId="12" fillId="0" borderId="0" xfId="0" applyNumberFormat="1" applyFont="1"/>
    <xf numFmtId="0" fontId="16" fillId="0" borderId="1" xfId="0" applyFont="1" applyBorder="1"/>
    <xf numFmtId="9" fontId="16" fillId="0" borderId="1" xfId="0" applyNumberFormat="1" applyFont="1" applyBorder="1"/>
    <xf numFmtId="9" fontId="16" fillId="0" borderId="1" xfId="3" applyFont="1" applyBorder="1" applyAlignment="1">
      <alignment horizontal="center" vertical="center"/>
    </xf>
    <xf numFmtId="10" fontId="12" fillId="0" borderId="0" xfId="0" applyNumberFormat="1" applyFont="1" applyAlignment="1">
      <alignment horizontal="center" vertical="center"/>
    </xf>
    <xf numFmtId="0" fontId="49" fillId="12" borderId="0" xfId="0" applyFont="1" applyFill="1" applyAlignment="1">
      <alignment horizontal="left" indent="20"/>
    </xf>
    <xf numFmtId="0" fontId="49" fillId="12" borderId="0" xfId="0" applyFont="1" applyFill="1" applyAlignment="1">
      <alignment horizontal="left" indent="21"/>
    </xf>
    <xf numFmtId="0" fontId="49" fillId="12" borderId="0" xfId="0" applyFont="1" applyFill="1" applyAlignment="1">
      <alignment horizontal="left" indent="22"/>
    </xf>
    <xf numFmtId="0" fontId="49" fillId="12" borderId="0" xfId="0" applyFont="1" applyFill="1" applyAlignment="1">
      <alignment horizontal="left" indent="24"/>
    </xf>
    <xf numFmtId="0" fontId="49" fillId="12" borderId="0" xfId="0" applyFont="1" applyFill="1" applyAlignment="1">
      <alignment horizontal="left" indent="28"/>
    </xf>
    <xf numFmtId="0" fontId="49" fillId="12" borderId="0" xfId="0" applyFont="1" applyFill="1" applyAlignment="1">
      <alignment horizontal="left" indent="12"/>
    </xf>
    <xf numFmtId="0" fontId="49" fillId="12" borderId="0" xfId="0" applyFont="1" applyFill="1" applyAlignment="1">
      <alignment horizontal="left" indent="6"/>
    </xf>
    <xf numFmtId="0" fontId="49" fillId="12" borderId="0" xfId="0" applyFont="1" applyFill="1" applyAlignment="1">
      <alignment horizontal="left" indent="4"/>
    </xf>
    <xf numFmtId="0" fontId="49" fillId="12" borderId="0" xfId="0" applyFont="1" applyFill="1" applyAlignment="1">
      <alignment horizontal="left"/>
    </xf>
    <xf numFmtId="176" fontId="30" fillId="0" borderId="76" xfId="6" applyNumberFormat="1" applyFont="1" applyFill="1" applyBorder="1" applyAlignment="1" applyProtection="1">
      <alignment vertical="center"/>
      <protection hidden="1"/>
    </xf>
    <xf numFmtId="176" fontId="56" fillId="0" borderId="76" xfId="6" applyNumberFormat="1" applyFont="1" applyFill="1" applyBorder="1" applyAlignment="1" applyProtection="1">
      <alignment horizontal="left" vertical="center"/>
      <protection hidden="1"/>
    </xf>
    <xf numFmtId="0" fontId="12" fillId="37" borderId="0" xfId="0" applyFont="1" applyFill="1" applyAlignment="1">
      <alignment vertical="center"/>
    </xf>
    <xf numFmtId="0" fontId="11" fillId="0" borderId="0" xfId="0" applyFont="1" applyAlignment="1">
      <alignment vertical="center"/>
    </xf>
    <xf numFmtId="0" fontId="11" fillId="12" borderId="0" xfId="0" applyFont="1" applyFill="1" applyAlignment="1">
      <alignment vertical="center"/>
    </xf>
    <xf numFmtId="0" fontId="11" fillId="42" borderId="0" xfId="0" applyFont="1" applyFill="1" applyAlignment="1">
      <alignment vertical="center"/>
    </xf>
    <xf numFmtId="0" fontId="28" fillId="23" borderId="22" xfId="0" applyFont="1" applyFill="1" applyBorder="1" applyAlignment="1">
      <alignment horizontal="center" vertical="center" wrapText="1"/>
    </xf>
    <xf numFmtId="0" fontId="28" fillId="23" borderId="1" xfId="0" applyFont="1" applyFill="1" applyBorder="1" applyAlignment="1">
      <alignment horizontal="center" vertical="center" wrapText="1"/>
    </xf>
    <xf numFmtId="3" fontId="28" fillId="23" borderId="1" xfId="0" applyNumberFormat="1" applyFont="1" applyFill="1" applyBorder="1" applyAlignment="1">
      <alignment horizontal="center" vertical="center"/>
    </xf>
    <xf numFmtId="175" fontId="28" fillId="23" borderId="1" xfId="4" applyNumberFormat="1" applyFont="1" applyFill="1" applyBorder="1" applyAlignment="1">
      <alignment horizontal="center" vertical="center"/>
    </xf>
    <xf numFmtId="175" fontId="28" fillId="23" borderId="1" xfId="0" applyNumberFormat="1" applyFont="1" applyFill="1" applyBorder="1" applyAlignment="1">
      <alignment horizontal="right" vertical="center"/>
    </xf>
    <xf numFmtId="175" fontId="28" fillId="23" borderId="1" xfId="0" applyNumberFormat="1" applyFont="1" applyFill="1" applyBorder="1" applyAlignment="1">
      <alignment horizontal="right" vertical="center" wrapText="1"/>
    </xf>
    <xf numFmtId="0" fontId="58" fillId="33" borderId="0" xfId="0" applyFont="1" applyFill="1" applyAlignment="1">
      <alignment horizontal="center" vertical="center"/>
    </xf>
    <xf numFmtId="0" fontId="16" fillId="20" borderId="1" xfId="0" applyFont="1" applyFill="1" applyBorder="1" applyAlignment="1">
      <alignment horizontal="center" vertical="center" wrapText="1"/>
    </xf>
    <xf numFmtId="0" fontId="16" fillId="25" borderId="1" xfId="0" applyFont="1" applyFill="1" applyBorder="1" applyAlignment="1">
      <alignment horizontal="center" vertical="center" wrapText="1"/>
    </xf>
    <xf numFmtId="0" fontId="32" fillId="0" borderId="0" xfId="0" applyFont="1"/>
    <xf numFmtId="0" fontId="16" fillId="12" borderId="1" xfId="0" applyFont="1" applyFill="1" applyBorder="1" applyAlignment="1">
      <alignment horizontal="center" vertical="center" wrapText="1"/>
    </xf>
    <xf numFmtId="0" fontId="12" fillId="42" borderId="1" xfId="0" applyFont="1" applyFill="1" applyBorder="1" applyAlignment="1">
      <alignment vertical="center" wrapText="1"/>
    </xf>
    <xf numFmtId="0" fontId="12" fillId="42" borderId="1" xfId="0" applyFont="1" applyFill="1" applyBorder="1" applyAlignment="1">
      <alignment vertical="center"/>
    </xf>
    <xf numFmtId="176" fontId="28" fillId="23" borderId="1" xfId="6" applyNumberFormat="1" applyFont="1" applyFill="1" applyBorder="1"/>
    <xf numFmtId="176" fontId="59" fillId="25" borderId="1" xfId="6" applyNumberFormat="1" applyFont="1" applyFill="1" applyBorder="1"/>
    <xf numFmtId="175" fontId="59" fillId="25" borderId="1" xfId="4" applyNumberFormat="1" applyFont="1" applyFill="1" applyBorder="1" applyAlignment="1">
      <alignment horizontal="center" vertical="center"/>
    </xf>
    <xf numFmtId="0" fontId="11" fillId="39" borderId="0" xfId="0" applyFont="1" applyFill="1" applyAlignment="1">
      <alignment vertical="center"/>
    </xf>
    <xf numFmtId="3" fontId="12" fillId="39" borderId="43" xfId="0" applyNumberFormat="1" applyFont="1" applyFill="1" applyBorder="1" applyAlignment="1">
      <alignment horizontal="center" vertical="center"/>
    </xf>
    <xf numFmtId="3" fontId="12" fillId="39" borderId="47" xfId="0" applyNumberFormat="1" applyFont="1" applyFill="1" applyBorder="1" applyAlignment="1">
      <alignment horizontal="center" vertical="center"/>
    </xf>
    <xf numFmtId="0" fontId="12" fillId="39" borderId="29" xfId="0" applyFont="1" applyFill="1" applyBorder="1" applyAlignment="1">
      <alignment horizontal="center" vertical="center"/>
    </xf>
    <xf numFmtId="10" fontId="12" fillId="39" borderId="27" xfId="0" applyNumberFormat="1" applyFont="1" applyFill="1" applyBorder="1" applyAlignment="1">
      <alignment horizontal="center"/>
    </xf>
    <xf numFmtId="0" fontId="16" fillId="0" borderId="1" xfId="0" applyFont="1" applyBorder="1" applyAlignment="1">
      <alignment horizontal="right" vertical="center" wrapText="1"/>
    </xf>
    <xf numFmtId="0" fontId="31" fillId="39" borderId="6" xfId="0" applyFont="1" applyFill="1" applyBorder="1" applyAlignment="1">
      <alignment horizontal="center" vertical="center" wrapText="1"/>
    </xf>
    <xf numFmtId="175" fontId="31" fillId="39" borderId="1" xfId="0" applyNumberFormat="1" applyFont="1" applyFill="1" applyBorder="1" applyAlignment="1">
      <alignment horizontal="right" vertical="center" wrapText="1"/>
    </xf>
    <xf numFmtId="175" fontId="12" fillId="39" borderId="31" xfId="0" applyNumberFormat="1" applyFont="1" applyFill="1" applyBorder="1" applyAlignment="1">
      <alignment horizontal="center" vertical="center"/>
    </xf>
    <xf numFmtId="170" fontId="12" fillId="39" borderId="31" xfId="0" applyNumberFormat="1" applyFont="1" applyFill="1" applyBorder="1" applyAlignment="1">
      <alignment horizontal="center" vertical="center"/>
    </xf>
    <xf numFmtId="165" fontId="12" fillId="39" borderId="31" xfId="0" applyNumberFormat="1" applyFont="1" applyFill="1" applyBorder="1" applyAlignment="1">
      <alignment horizontal="center" vertical="center"/>
    </xf>
    <xf numFmtId="175" fontId="12" fillId="39" borderId="27" xfId="0" applyNumberFormat="1" applyFont="1" applyFill="1" applyBorder="1" applyAlignment="1">
      <alignment horizontal="center" vertical="center"/>
    </xf>
    <xf numFmtId="0" fontId="12" fillId="12" borderId="55" xfId="0" applyFont="1" applyFill="1" applyBorder="1" applyAlignment="1">
      <alignment horizontal="center" vertical="center" wrapText="1"/>
    </xf>
    <xf numFmtId="0" fontId="3" fillId="12" borderId="27" xfId="0" applyFont="1" applyFill="1" applyBorder="1" applyAlignment="1">
      <alignment horizontal="center" vertical="center"/>
    </xf>
    <xf numFmtId="0" fontId="3" fillId="12" borderId="44" xfId="0" applyFont="1" applyFill="1" applyBorder="1" applyAlignment="1">
      <alignment horizontal="center" vertical="center"/>
    </xf>
    <xf numFmtId="3" fontId="12" fillId="39" borderId="69" xfId="0" applyNumberFormat="1" applyFont="1" applyFill="1" applyBorder="1" applyAlignment="1">
      <alignment horizontal="center" vertical="center"/>
    </xf>
    <xf numFmtId="3" fontId="12" fillId="39" borderId="67" xfId="0" applyNumberFormat="1" applyFont="1" applyFill="1" applyBorder="1" applyAlignment="1">
      <alignment horizontal="center" vertical="center"/>
    </xf>
    <xf numFmtId="3" fontId="12" fillId="39" borderId="61" xfId="0" applyNumberFormat="1" applyFont="1" applyFill="1" applyBorder="1" applyAlignment="1">
      <alignment horizontal="center" vertical="center"/>
    </xf>
    <xf numFmtId="3" fontId="12" fillId="39" borderId="46" xfId="0" applyNumberFormat="1" applyFont="1" applyFill="1" applyBorder="1" applyAlignment="1">
      <alignment horizontal="center" vertical="center"/>
    </xf>
    <xf numFmtId="0" fontId="43" fillId="39" borderId="1" xfId="0" applyFont="1" applyFill="1" applyBorder="1"/>
    <xf numFmtId="3" fontId="44" fillId="39" borderId="1" xfId="0" applyNumberFormat="1" applyFont="1" applyFill="1" applyBorder="1" applyAlignment="1">
      <alignment horizontal="center" vertical="center"/>
    </xf>
    <xf numFmtId="10" fontId="44" fillId="39" borderId="1" xfId="0" applyNumberFormat="1" applyFont="1" applyFill="1" applyBorder="1" applyAlignment="1">
      <alignment horizontal="center" vertical="center"/>
    </xf>
    <xf numFmtId="0" fontId="0" fillId="39" borderId="1" xfId="0" applyFill="1" applyBorder="1"/>
    <xf numFmtId="0" fontId="3" fillId="37" borderId="1" xfId="0" applyFont="1" applyFill="1" applyBorder="1" applyAlignment="1">
      <alignment horizontal="center" vertical="center"/>
    </xf>
    <xf numFmtId="3" fontId="0" fillId="39" borderId="1" xfId="0" applyNumberFormat="1" applyFill="1" applyBorder="1" applyAlignment="1">
      <alignment horizontal="center" vertical="center"/>
    </xf>
    <xf numFmtId="175" fontId="0" fillId="39" borderId="1" xfId="0" applyNumberFormat="1" applyFill="1" applyBorder="1" applyAlignment="1">
      <alignment horizontal="center" vertical="center"/>
    </xf>
    <xf numFmtId="175" fontId="6" fillId="39" borderId="1" xfId="0" applyNumberFormat="1" applyFont="1" applyFill="1" applyBorder="1" applyAlignment="1">
      <alignment horizontal="center" vertical="center"/>
    </xf>
    <xf numFmtId="173" fontId="0" fillId="39" borderId="1" xfId="3" applyNumberFormat="1" applyFont="1" applyFill="1" applyBorder="1" applyAlignment="1">
      <alignment horizontal="center" vertical="center"/>
    </xf>
    <xf numFmtId="0" fontId="16" fillId="3" borderId="1" xfId="0" applyFont="1" applyFill="1" applyBorder="1" applyAlignment="1">
      <alignment horizontal="center" vertical="center"/>
    </xf>
    <xf numFmtId="0" fontId="0" fillId="0" borderId="1" xfId="0" applyBorder="1"/>
    <xf numFmtId="0" fontId="3" fillId="44" borderId="1" xfId="0" applyFont="1" applyFill="1" applyBorder="1" applyAlignment="1">
      <alignment horizontal="center" vertical="center"/>
    </xf>
    <xf numFmtId="0" fontId="43" fillId="0" borderId="1" xfId="0" applyFont="1" applyBorder="1"/>
    <xf numFmtId="0" fontId="43" fillId="0" borderId="1" xfId="0" applyFont="1" applyBorder="1" applyAlignment="1">
      <alignment horizontal="center" vertical="center"/>
    </xf>
    <xf numFmtId="0" fontId="43" fillId="47" borderId="1" xfId="0" applyFont="1" applyFill="1" applyBorder="1"/>
    <xf numFmtId="3" fontId="43" fillId="47" borderId="1" xfId="0" applyNumberFormat="1" applyFont="1" applyFill="1" applyBorder="1" applyAlignment="1">
      <alignment horizontal="center"/>
    </xf>
    <xf numFmtId="0" fontId="43" fillId="48" borderId="1" xfId="0" applyFont="1" applyFill="1" applyBorder="1"/>
    <xf numFmtId="3" fontId="43" fillId="48" borderId="1" xfId="0" applyNumberFormat="1" applyFont="1" applyFill="1" applyBorder="1" applyAlignment="1">
      <alignment horizontal="center"/>
    </xf>
    <xf numFmtId="0" fontId="43" fillId="49" borderId="1" xfId="0" applyFont="1" applyFill="1" applyBorder="1"/>
    <xf numFmtId="3" fontId="43" fillId="49" borderId="1" xfId="0" applyNumberFormat="1" applyFont="1" applyFill="1" applyBorder="1" applyAlignment="1">
      <alignment horizontal="center"/>
    </xf>
    <xf numFmtId="0" fontId="43" fillId="34" borderId="1" xfId="0" applyFont="1" applyFill="1" applyBorder="1"/>
    <xf numFmtId="3" fontId="43" fillId="34" borderId="1" xfId="0" applyNumberFormat="1" applyFont="1" applyFill="1" applyBorder="1" applyAlignment="1">
      <alignment horizontal="center"/>
    </xf>
    <xf numFmtId="0" fontId="43" fillId="50" borderId="1" xfId="0" applyFont="1" applyFill="1" applyBorder="1"/>
    <xf numFmtId="3" fontId="43" fillId="50" borderId="1" xfId="0" applyNumberFormat="1" applyFont="1" applyFill="1" applyBorder="1" applyAlignment="1">
      <alignment horizontal="center"/>
    </xf>
    <xf numFmtId="0" fontId="43" fillId="51" borderId="1" xfId="0" applyFont="1" applyFill="1" applyBorder="1"/>
    <xf numFmtId="3" fontId="43" fillId="51" borderId="1" xfId="0" applyNumberFormat="1" applyFont="1" applyFill="1" applyBorder="1" applyAlignment="1">
      <alignment horizontal="center"/>
    </xf>
    <xf numFmtId="0" fontId="43" fillId="56" borderId="1" xfId="0" applyFont="1" applyFill="1" applyBorder="1"/>
    <xf numFmtId="3" fontId="43" fillId="56" borderId="1" xfId="0" applyNumberFormat="1" applyFont="1" applyFill="1" applyBorder="1" applyAlignment="1">
      <alignment horizontal="center"/>
    </xf>
    <xf numFmtId="0" fontId="43" fillId="52" borderId="1" xfId="0" applyFont="1" applyFill="1" applyBorder="1"/>
    <xf numFmtId="3" fontId="43" fillId="52" borderId="1" xfId="0" applyNumberFormat="1" applyFont="1" applyFill="1" applyBorder="1" applyAlignment="1">
      <alignment horizontal="center"/>
    </xf>
    <xf numFmtId="0" fontId="44" fillId="45" borderId="1" xfId="0" applyFont="1" applyFill="1" applyBorder="1"/>
    <xf numFmtId="0" fontId="43" fillId="45" borderId="1" xfId="0" applyFont="1" applyFill="1" applyBorder="1" applyAlignment="1">
      <alignment horizontal="center"/>
    </xf>
    <xf numFmtId="0" fontId="0" fillId="12" borderId="1" xfId="0" applyFill="1" applyBorder="1" applyAlignment="1">
      <alignment horizontal="center" vertical="center"/>
    </xf>
    <xf numFmtId="0" fontId="6" fillId="59" borderId="1" xfId="0" applyFont="1" applyFill="1" applyBorder="1" applyAlignment="1">
      <alignment horizontal="center" vertical="center"/>
    </xf>
    <xf numFmtId="169" fontId="0" fillId="39" borderId="1" xfId="0" applyNumberFormat="1" applyFill="1" applyBorder="1" applyAlignment="1">
      <alignment horizontal="center" vertical="center"/>
    </xf>
    <xf numFmtId="0" fontId="12" fillId="0" borderId="1" xfId="0" applyFont="1" applyBorder="1" applyAlignment="1">
      <alignment vertical="center" wrapText="1"/>
    </xf>
    <xf numFmtId="0" fontId="17" fillId="16" borderId="1" xfId="0" applyFont="1" applyFill="1" applyBorder="1" applyAlignment="1">
      <alignment horizontal="center" vertical="center"/>
    </xf>
    <xf numFmtId="0" fontId="16" fillId="59" borderId="1" xfId="0" applyFont="1" applyFill="1" applyBorder="1" applyAlignment="1">
      <alignment horizontal="center" vertical="center"/>
    </xf>
    <xf numFmtId="0" fontId="12" fillId="9" borderId="1" xfId="0" applyFont="1" applyFill="1" applyBorder="1" applyAlignment="1">
      <alignment horizontal="right" vertical="center"/>
    </xf>
    <xf numFmtId="0" fontId="12" fillId="41" borderId="1" xfId="0" applyFont="1" applyFill="1" applyBorder="1" applyAlignment="1">
      <alignment horizontal="right" vertical="center"/>
    </xf>
    <xf numFmtId="0" fontId="16" fillId="7" borderId="1" xfId="0" applyFont="1" applyFill="1" applyBorder="1" applyAlignment="1">
      <alignment horizontal="right" vertical="center"/>
    </xf>
    <xf numFmtId="0" fontId="16" fillId="3" borderId="1" xfId="0" applyFont="1" applyFill="1" applyBorder="1" applyAlignment="1">
      <alignment horizontal="right" vertical="center"/>
    </xf>
    <xf numFmtId="0" fontId="16" fillId="44" borderId="1" xfId="0" applyFont="1" applyFill="1" applyBorder="1" applyAlignment="1">
      <alignment horizontal="center" vertical="center"/>
    </xf>
    <xf numFmtId="170" fontId="12" fillId="0" borderId="1" xfId="0" applyNumberFormat="1" applyFont="1" applyBorder="1" applyAlignment="1">
      <alignment horizontal="center" vertical="center"/>
    </xf>
    <xf numFmtId="0" fontId="16" fillId="0" borderId="15" xfId="0" applyFont="1" applyBorder="1" applyAlignment="1">
      <alignment horizontal="center" vertical="center"/>
    </xf>
    <xf numFmtId="3" fontId="16" fillId="17" borderId="15" xfId="0" applyNumberFormat="1" applyFont="1" applyFill="1" applyBorder="1" applyAlignment="1">
      <alignment horizontal="center" vertical="center" wrapText="1"/>
    </xf>
    <xf numFmtId="0" fontId="16" fillId="5" borderId="15" xfId="0" applyFont="1" applyFill="1" applyBorder="1" applyAlignment="1">
      <alignment horizontal="center" vertical="center"/>
    </xf>
    <xf numFmtId="0" fontId="16" fillId="6" borderId="20" xfId="0" applyFont="1" applyFill="1" applyBorder="1" applyAlignment="1">
      <alignment horizontal="center" vertical="center"/>
    </xf>
    <xf numFmtId="0" fontId="16" fillId="11" borderId="1" xfId="0" applyFont="1" applyFill="1" applyBorder="1" applyAlignment="1">
      <alignment horizontal="center" vertical="center"/>
    </xf>
    <xf numFmtId="0" fontId="16" fillId="2" borderId="15" xfId="0" applyFont="1" applyFill="1" applyBorder="1" applyAlignment="1">
      <alignment horizontal="center" vertical="center"/>
    </xf>
    <xf numFmtId="0" fontId="16" fillId="8" borderId="1" xfId="0" applyFont="1" applyFill="1" applyBorder="1" applyAlignment="1">
      <alignment horizontal="left" vertical="center" wrapText="1"/>
    </xf>
    <xf numFmtId="0" fontId="35" fillId="5" borderId="1" xfId="0" applyFont="1" applyFill="1" applyBorder="1" applyAlignment="1">
      <alignment horizontal="center" vertical="center" wrapText="1"/>
    </xf>
    <xf numFmtId="0" fontId="16" fillId="4" borderId="29" xfId="0" applyFont="1" applyFill="1" applyBorder="1" applyAlignment="1">
      <alignment horizontal="center" vertical="center"/>
    </xf>
    <xf numFmtId="0" fontId="16" fillId="2" borderId="20" xfId="0" applyFont="1" applyFill="1" applyBorder="1" applyAlignment="1">
      <alignment horizontal="center" vertical="center" wrapText="1"/>
    </xf>
    <xf numFmtId="175" fontId="12" fillId="0" borderId="1" xfId="0" applyNumberFormat="1" applyFont="1" applyBorder="1" applyAlignment="1">
      <alignment vertical="center" wrapText="1"/>
    </xf>
    <xf numFmtId="0" fontId="12" fillId="37" borderId="1" xfId="0" applyFont="1" applyFill="1" applyBorder="1" applyAlignment="1">
      <alignment horizontal="center" vertical="center"/>
    </xf>
    <xf numFmtId="0" fontId="16" fillId="42" borderId="1" xfId="0" applyFont="1" applyFill="1" applyBorder="1" applyAlignment="1">
      <alignment horizontal="center" vertical="center"/>
    </xf>
    <xf numFmtId="0" fontId="17" fillId="9" borderId="1" xfId="0" applyFont="1" applyFill="1" applyBorder="1" applyAlignment="1">
      <alignment vertical="center" wrapText="1"/>
    </xf>
    <xf numFmtId="0" fontId="16" fillId="12" borderId="1" xfId="0" applyFont="1" applyFill="1" applyBorder="1" applyAlignment="1">
      <alignment vertical="center" wrapText="1"/>
    </xf>
    <xf numFmtId="0" fontId="17" fillId="10" borderId="1" xfId="0" applyFont="1" applyFill="1" applyBorder="1" applyAlignment="1">
      <alignment vertical="center" wrapText="1"/>
    </xf>
    <xf numFmtId="0" fontId="16" fillId="0" borderId="1" xfId="0" applyFont="1" applyBorder="1" applyAlignment="1">
      <alignment horizontal="left" vertical="center"/>
    </xf>
    <xf numFmtId="0" fontId="16" fillId="0" borderId="1" xfId="0" applyFont="1" applyBorder="1" applyAlignment="1">
      <alignment horizontal="right"/>
    </xf>
    <xf numFmtId="0" fontId="12" fillId="0" borderId="1" xfId="0" applyFont="1" applyBorder="1" applyAlignment="1">
      <alignment horizontal="right"/>
    </xf>
    <xf numFmtId="0" fontId="12" fillId="0" borderId="1" xfId="0" applyFont="1" applyBorder="1" applyAlignment="1">
      <alignment horizontal="right" vertical="center"/>
    </xf>
    <xf numFmtId="175" fontId="19" fillId="16" borderId="1" xfId="0" applyNumberFormat="1" applyFont="1" applyFill="1" applyBorder="1" applyAlignment="1">
      <alignment horizontal="center" vertical="center"/>
    </xf>
    <xf numFmtId="175" fontId="16" fillId="59" borderId="1" xfId="0" applyNumberFormat="1" applyFont="1" applyFill="1" applyBorder="1" applyAlignment="1">
      <alignment horizontal="center" vertical="center"/>
    </xf>
    <xf numFmtId="0" fontId="16" fillId="0" borderId="1" xfId="0" applyFont="1" applyBorder="1" applyAlignment="1">
      <alignment horizontal="left"/>
    </xf>
    <xf numFmtId="0" fontId="16" fillId="0" borderId="1" xfId="0" applyFont="1" applyBorder="1" applyAlignment="1">
      <alignment horizontal="right" vertical="center"/>
    </xf>
    <xf numFmtId="0" fontId="12" fillId="12" borderId="1" xfId="0" applyFont="1" applyFill="1" applyBorder="1" applyAlignment="1">
      <alignment horizontal="center" vertical="center"/>
    </xf>
    <xf numFmtId="0" fontId="16" fillId="12" borderId="1" xfId="0" applyFont="1" applyFill="1" applyBorder="1" applyAlignment="1">
      <alignment horizontal="center" vertical="center"/>
    </xf>
    <xf numFmtId="1" fontId="12" fillId="39" borderId="1" xfId="0" applyNumberFormat="1" applyFont="1" applyFill="1" applyBorder="1" applyAlignment="1">
      <alignment horizontal="center" vertical="center"/>
    </xf>
    <xf numFmtId="175" fontId="12" fillId="39" borderId="1" xfId="0" applyNumberFormat="1" applyFont="1" applyFill="1" applyBorder="1" applyAlignment="1">
      <alignment horizontal="center" vertical="center" wrapText="1"/>
    </xf>
    <xf numFmtId="0" fontId="28" fillId="23" borderId="23" xfId="0" applyFont="1" applyFill="1" applyBorder="1" applyAlignment="1">
      <alignment horizontal="center" vertical="center" wrapText="1"/>
    </xf>
    <xf numFmtId="0" fontId="16" fillId="21" borderId="1" xfId="0" applyFont="1" applyFill="1" applyBorder="1" applyAlignment="1">
      <alignment horizontal="center" vertical="center" wrapText="1"/>
    </xf>
    <xf numFmtId="10" fontId="27" fillId="39" borderId="1" xfId="0" applyNumberFormat="1" applyFont="1" applyFill="1" applyBorder="1" applyAlignment="1">
      <alignment horizontal="center" vertical="center"/>
    </xf>
    <xf numFmtId="10" fontId="32" fillId="39" borderId="1" xfId="0" applyNumberFormat="1" applyFont="1" applyFill="1" applyBorder="1" applyAlignment="1">
      <alignment horizontal="center" vertical="center"/>
    </xf>
    <xf numFmtId="0" fontId="12" fillId="39" borderId="28" xfId="0" applyFont="1" applyFill="1" applyBorder="1" applyAlignment="1">
      <alignment horizontal="center" vertical="center"/>
    </xf>
    <xf numFmtId="10" fontId="12" fillId="39" borderId="51" xfId="0" applyNumberFormat="1" applyFont="1" applyFill="1" applyBorder="1" applyAlignment="1">
      <alignment horizontal="center"/>
    </xf>
    <xf numFmtId="10" fontId="12" fillId="39" borderId="51" xfId="0" applyNumberFormat="1" applyFont="1" applyFill="1" applyBorder="1" applyAlignment="1">
      <alignment horizontal="center" vertical="center"/>
    </xf>
    <xf numFmtId="0" fontId="17" fillId="58" borderId="1" xfId="0" applyFont="1" applyFill="1" applyBorder="1" applyAlignment="1">
      <alignment horizontal="center" vertical="center"/>
    </xf>
    <xf numFmtId="167" fontId="12" fillId="39" borderId="1" xfId="0" applyNumberFormat="1" applyFont="1" applyFill="1" applyBorder="1" applyAlignment="1">
      <alignment horizontal="center" vertical="center"/>
    </xf>
    <xf numFmtId="3" fontId="16" fillId="12" borderId="1" xfId="0" applyNumberFormat="1" applyFont="1" applyFill="1" applyBorder="1" applyAlignment="1">
      <alignment horizontal="center" vertical="center" wrapText="1"/>
    </xf>
    <xf numFmtId="3" fontId="19" fillId="39" borderId="1" xfId="0" applyNumberFormat="1" applyFont="1" applyFill="1" applyBorder="1" applyAlignment="1">
      <alignment horizontal="center" vertical="center" wrapText="1"/>
    </xf>
    <xf numFmtId="3" fontId="12" fillId="0" borderId="1" xfId="0" applyNumberFormat="1" applyFont="1" applyBorder="1" applyAlignment="1">
      <alignment horizontal="center" vertical="center" wrapText="1"/>
    </xf>
    <xf numFmtId="0" fontId="49" fillId="12" borderId="0" xfId="0" applyFont="1" applyFill="1" applyAlignment="1">
      <alignment horizontal="left" indent="39"/>
    </xf>
    <xf numFmtId="0" fontId="50" fillId="12" borderId="0" xfId="0" applyFont="1" applyFill="1" applyAlignment="1">
      <alignment horizontal="left" indent="7"/>
    </xf>
    <xf numFmtId="0" fontId="12" fillId="10" borderId="1" xfId="0" applyFont="1" applyFill="1" applyBorder="1" applyAlignment="1">
      <alignment horizontal="center"/>
    </xf>
    <xf numFmtId="0" fontId="12" fillId="10" borderId="1" xfId="0" applyFont="1" applyFill="1" applyBorder="1" applyAlignment="1">
      <alignment horizontal="center" vertical="center"/>
    </xf>
    <xf numFmtId="174" fontId="12" fillId="10" borderId="1" xfId="0" applyNumberFormat="1" applyFont="1" applyFill="1" applyBorder="1" applyAlignment="1">
      <alignment horizontal="center" vertical="center"/>
    </xf>
    <xf numFmtId="175" fontId="0" fillId="0" borderId="1" xfId="0" applyNumberFormat="1" applyBorder="1"/>
    <xf numFmtId="175" fontId="10" fillId="39" borderId="1" xfId="0" applyNumberFormat="1" applyFont="1" applyFill="1" applyBorder="1" applyAlignment="1">
      <alignment horizontal="right" vertical="center" indent="1"/>
    </xf>
    <xf numFmtId="175" fontId="12" fillId="10" borderId="1" xfId="0" applyNumberFormat="1" applyFont="1" applyFill="1" applyBorder="1" applyAlignment="1">
      <alignment horizontal="center" vertical="center"/>
    </xf>
    <xf numFmtId="175" fontId="12" fillId="0" borderId="1" xfId="0" applyNumberFormat="1" applyFont="1" applyBorder="1"/>
    <xf numFmtId="0" fontId="8" fillId="5" borderId="1" xfId="0" applyFont="1" applyFill="1" applyBorder="1" applyAlignment="1">
      <alignment horizontal="center" vertical="center"/>
    </xf>
    <xf numFmtId="0" fontId="8" fillId="27" borderId="1" xfId="0" applyFont="1" applyFill="1" applyBorder="1" applyAlignment="1">
      <alignment horizontal="center" vertical="center" wrapText="1"/>
    </xf>
    <xf numFmtId="0" fontId="8" fillId="40" borderId="1" xfId="0" applyFont="1" applyFill="1" applyBorder="1" applyAlignment="1">
      <alignment horizontal="center" vertical="center"/>
    </xf>
    <xf numFmtId="175" fontId="9" fillId="39" borderId="1" xfId="4" applyNumberFormat="1" applyFont="1" applyFill="1" applyBorder="1" applyAlignment="1">
      <alignment vertical="center"/>
    </xf>
    <xf numFmtId="170" fontId="9" fillId="39" borderId="1" xfId="0" applyNumberFormat="1" applyFont="1" applyFill="1" applyBorder="1" applyAlignment="1">
      <alignment vertical="center"/>
    </xf>
    <xf numFmtId="0" fontId="8" fillId="53" borderId="1" xfId="0" applyFont="1" applyFill="1" applyBorder="1" applyAlignment="1">
      <alignment horizontal="center" vertical="center"/>
    </xf>
    <xf numFmtId="0" fontId="8" fillId="3" borderId="1" xfId="0" applyFont="1" applyFill="1" applyBorder="1" applyAlignment="1">
      <alignment horizontal="center" vertical="center"/>
    </xf>
    <xf numFmtId="0" fontId="14" fillId="42" borderId="1" xfId="0" applyFont="1" applyFill="1" applyBorder="1" applyAlignment="1">
      <alignment vertical="center" wrapText="1"/>
    </xf>
    <xf numFmtId="175" fontId="29" fillId="39" borderId="1" xfId="0" applyNumberFormat="1" applyFont="1" applyFill="1" applyBorder="1" applyAlignment="1">
      <alignment horizontal="right" vertical="center"/>
    </xf>
    <xf numFmtId="0" fontId="30" fillId="42" borderId="1" xfId="0" applyFont="1" applyFill="1" applyBorder="1" applyAlignment="1">
      <alignment vertical="center"/>
    </xf>
    <xf numFmtId="0" fontId="14" fillId="42" borderId="1" xfId="0" applyFont="1" applyFill="1" applyBorder="1" applyAlignment="1">
      <alignment vertical="center"/>
    </xf>
    <xf numFmtId="0" fontId="16" fillId="12" borderId="1" xfId="0" applyFont="1" applyFill="1" applyBorder="1" applyAlignment="1">
      <alignment horizontal="right" vertical="center" wrapText="1"/>
    </xf>
    <xf numFmtId="175" fontId="30" fillId="39" borderId="1" xfId="0" applyNumberFormat="1" applyFont="1" applyFill="1" applyBorder="1" applyAlignment="1">
      <alignment horizontal="right" vertical="center"/>
    </xf>
    <xf numFmtId="0" fontId="12" fillId="41" borderId="1" xfId="0" applyFont="1" applyFill="1" applyBorder="1" applyAlignment="1">
      <alignment horizontal="center" vertical="center"/>
    </xf>
    <xf numFmtId="0" fontId="14" fillId="40" borderId="1" xfId="0" applyFont="1" applyFill="1" applyBorder="1" applyAlignment="1">
      <alignment vertical="center"/>
    </xf>
    <xf numFmtId="170" fontId="29" fillId="39" borderId="1" xfId="0" applyNumberFormat="1" applyFont="1" applyFill="1" applyBorder="1" applyAlignment="1">
      <alignment horizontal="right" vertical="center"/>
    </xf>
    <xf numFmtId="0" fontId="16" fillId="10" borderId="1" xfId="0" applyFont="1" applyFill="1" applyBorder="1" applyAlignment="1">
      <alignment horizontal="center" vertical="center"/>
    </xf>
    <xf numFmtId="0" fontId="3" fillId="31" borderId="1" xfId="0" applyFont="1" applyFill="1" applyBorder="1" applyAlignment="1">
      <alignment horizontal="center" vertical="center"/>
    </xf>
    <xf numFmtId="175" fontId="12" fillId="24" borderId="1" xfId="0" applyNumberFormat="1" applyFont="1" applyFill="1" applyBorder="1" applyAlignment="1">
      <alignment horizontal="right" vertical="center"/>
    </xf>
    <xf numFmtId="175" fontId="16" fillId="23" borderId="1" xfId="0" applyNumberFormat="1" applyFont="1" applyFill="1" applyBorder="1" applyAlignment="1">
      <alignment horizontal="right" vertical="center"/>
    </xf>
    <xf numFmtId="0" fontId="2" fillId="0" borderId="1" xfId="0" applyFont="1" applyBorder="1"/>
    <xf numFmtId="0" fontId="2" fillId="0" borderId="1" xfId="0" applyFont="1" applyBorder="1" applyAlignment="1">
      <alignment horizontal="left" vertical="center"/>
    </xf>
    <xf numFmtId="175" fontId="16" fillId="23" borderId="1" xfId="0" applyNumberFormat="1" applyFont="1" applyFill="1" applyBorder="1" applyAlignment="1">
      <alignment horizontal="center" vertical="center"/>
    </xf>
    <xf numFmtId="0" fontId="16" fillId="34" borderId="1" xfId="0" applyFont="1" applyFill="1" applyBorder="1" applyAlignment="1">
      <alignment horizontal="center" vertical="center"/>
    </xf>
    <xf numFmtId="0" fontId="5" fillId="0" borderId="1" xfId="0" applyFont="1" applyBorder="1" applyAlignment="1">
      <alignment horizontal="center" vertical="center"/>
    </xf>
    <xf numFmtId="175" fontId="12" fillId="39" borderId="50" xfId="0" applyNumberFormat="1" applyFont="1" applyFill="1" applyBorder="1" applyAlignment="1">
      <alignment horizontal="center" vertical="center"/>
    </xf>
    <xf numFmtId="175" fontId="12" fillId="39" borderId="51" xfId="0" applyNumberFormat="1" applyFont="1" applyFill="1" applyBorder="1" applyAlignment="1">
      <alignment horizontal="center" vertical="center"/>
    </xf>
    <xf numFmtId="175" fontId="2" fillId="39" borderId="1" xfId="4" applyNumberFormat="1" applyFont="1" applyFill="1" applyBorder="1" applyAlignment="1">
      <alignment horizontal="right" vertical="center"/>
    </xf>
    <xf numFmtId="175" fontId="2" fillId="39" borderId="1" xfId="0" applyNumberFormat="1" applyFont="1" applyFill="1" applyBorder="1" applyAlignment="1">
      <alignment horizontal="right" vertical="center"/>
    </xf>
    <xf numFmtId="175" fontId="2" fillId="7" borderId="1" xfId="4" applyNumberFormat="1" applyFont="1" applyFill="1" applyBorder="1" applyAlignment="1">
      <alignment horizontal="right" vertical="center"/>
    </xf>
    <xf numFmtId="175" fontId="2" fillId="7" borderId="1" xfId="0" applyNumberFormat="1" applyFont="1" applyFill="1" applyBorder="1" applyAlignment="1">
      <alignment horizontal="right" vertical="center"/>
    </xf>
    <xf numFmtId="0" fontId="3" fillId="18" borderId="1" xfId="0" applyFont="1" applyFill="1" applyBorder="1" applyAlignment="1">
      <alignment horizontal="right" vertical="center" wrapText="1"/>
    </xf>
    <xf numFmtId="175" fontId="2" fillId="23" borderId="1" xfId="4" applyNumberFormat="1" applyFont="1" applyFill="1" applyBorder="1" applyAlignment="1">
      <alignment horizontal="right" vertical="center"/>
    </xf>
    <xf numFmtId="175" fontId="2" fillId="23" borderId="1" xfId="0" applyNumberFormat="1" applyFont="1" applyFill="1" applyBorder="1" applyAlignment="1">
      <alignment horizontal="right" vertical="center"/>
    </xf>
    <xf numFmtId="0" fontId="12" fillId="42" borderId="1" xfId="0" applyFont="1" applyFill="1" applyBorder="1" applyAlignment="1">
      <alignment horizontal="center" vertical="center"/>
    </xf>
    <xf numFmtId="10" fontId="12" fillId="22" borderId="1" xfId="0" applyNumberFormat="1" applyFont="1" applyFill="1" applyBorder="1" applyAlignment="1">
      <alignment horizontal="center" vertical="center"/>
    </xf>
    <xf numFmtId="2" fontId="12" fillId="42" borderId="1" xfId="0" applyNumberFormat="1" applyFont="1" applyFill="1" applyBorder="1" applyAlignment="1">
      <alignment horizontal="center" vertical="center" wrapText="1"/>
    </xf>
    <xf numFmtId="10" fontId="12" fillId="42" borderId="27" xfId="0" applyNumberFormat="1" applyFont="1" applyFill="1" applyBorder="1" applyAlignment="1">
      <alignment horizontal="center" vertical="center"/>
    </xf>
    <xf numFmtId="0" fontId="16" fillId="0" borderId="1" xfId="0" applyFont="1" applyBorder="1" applyAlignment="1">
      <alignment vertical="center" wrapText="1"/>
    </xf>
    <xf numFmtId="9" fontId="12" fillId="0" borderId="1" xfId="3" applyFont="1" applyBorder="1" applyAlignment="1">
      <alignment horizontal="center" vertical="center" wrapText="1"/>
    </xf>
    <xf numFmtId="0" fontId="12" fillId="42" borderId="15" xfId="0" applyFont="1" applyFill="1" applyBorder="1" applyAlignment="1">
      <alignment vertical="center" wrapText="1"/>
    </xf>
    <xf numFmtId="0" fontId="12" fillId="42" borderId="2" xfId="0" applyFont="1" applyFill="1" applyBorder="1" applyAlignment="1">
      <alignment vertical="center" wrapText="1"/>
    </xf>
    <xf numFmtId="9" fontId="35" fillId="42" borderId="1" xfId="3" applyFont="1" applyFill="1" applyBorder="1" applyAlignment="1">
      <alignment horizontal="center" vertical="center"/>
    </xf>
    <xf numFmtId="0" fontId="12" fillId="42" borderId="15" xfId="0" applyFont="1" applyFill="1" applyBorder="1" applyAlignment="1">
      <alignment vertical="top" wrapText="1"/>
    </xf>
    <xf numFmtId="0" fontId="12" fillId="42" borderId="2" xfId="0" applyFont="1" applyFill="1" applyBorder="1" applyAlignment="1">
      <alignment vertical="top" wrapText="1"/>
    </xf>
    <xf numFmtId="0" fontId="12" fillId="0" borderId="1" xfId="0" applyFont="1" applyBorder="1" applyAlignment="1">
      <alignment vertical="top" wrapText="1"/>
    </xf>
    <xf numFmtId="0" fontId="12" fillId="43" borderId="1" xfId="0" applyFont="1" applyFill="1" applyBorder="1"/>
    <xf numFmtId="10" fontId="12" fillId="39" borderId="1" xfId="0" applyNumberFormat="1" applyFont="1" applyFill="1" applyBorder="1" applyAlignment="1">
      <alignment horizontal="center" vertical="center"/>
    </xf>
    <xf numFmtId="0" fontId="31" fillId="42" borderId="1" xfId="0" applyFont="1" applyFill="1" applyBorder="1" applyAlignment="1">
      <alignment horizontal="center" vertical="center" wrapText="1"/>
    </xf>
    <xf numFmtId="3" fontId="41" fillId="39" borderId="27" xfId="0" applyNumberFormat="1" applyFont="1" applyFill="1" applyBorder="1" applyAlignment="1">
      <alignment horizontal="center" vertical="center"/>
    </xf>
    <xf numFmtId="0" fontId="42" fillId="39" borderId="1" xfId="0" applyFont="1" applyFill="1" applyBorder="1" applyAlignment="1">
      <alignment horizontal="center" vertical="center" wrapText="1"/>
    </xf>
    <xf numFmtId="0" fontId="31" fillId="42" borderId="32" xfId="0" applyFont="1" applyFill="1" applyBorder="1" applyAlignment="1">
      <alignment horizontal="center" vertical="center"/>
    </xf>
    <xf numFmtId="0" fontId="31" fillId="42" borderId="27" xfId="0" applyFont="1" applyFill="1" applyBorder="1" applyAlignment="1">
      <alignment horizontal="center" vertical="center"/>
    </xf>
    <xf numFmtId="0" fontId="31" fillId="42" borderId="60" xfId="0" applyFont="1" applyFill="1" applyBorder="1" applyAlignment="1">
      <alignment horizontal="center" vertical="center"/>
    </xf>
    <xf numFmtId="0" fontId="31" fillId="42" borderId="1" xfId="0" applyFont="1" applyFill="1" applyBorder="1" applyAlignment="1">
      <alignment horizontal="center" vertical="center"/>
    </xf>
    <xf numFmtId="0" fontId="31" fillId="42" borderId="31" xfId="0" applyFont="1" applyFill="1" applyBorder="1" applyAlignment="1">
      <alignment horizontal="center" vertical="center"/>
    </xf>
    <xf numFmtId="0" fontId="12" fillId="42" borderId="6" xfId="0" applyFont="1" applyFill="1" applyBorder="1" applyAlignment="1">
      <alignment horizontal="center" vertical="center"/>
    </xf>
    <xf numFmtId="175" fontId="31" fillId="42" borderId="1" xfId="0" applyNumberFormat="1" applyFont="1" applyFill="1" applyBorder="1" applyAlignment="1">
      <alignment horizontal="right" vertical="center"/>
    </xf>
    <xf numFmtId="3" fontId="31" fillId="42" borderId="6" xfId="0" applyNumberFormat="1" applyFont="1" applyFill="1" applyBorder="1" applyAlignment="1">
      <alignment horizontal="center" vertical="center" wrapText="1"/>
    </xf>
    <xf numFmtId="3" fontId="31" fillId="42" borderId="1" xfId="0" applyNumberFormat="1" applyFont="1" applyFill="1" applyBorder="1" applyAlignment="1">
      <alignment horizontal="center" vertical="center" wrapText="1"/>
    </xf>
    <xf numFmtId="3" fontId="60" fillId="12" borderId="27" xfId="0" applyNumberFormat="1" applyFont="1" applyFill="1" applyBorder="1" applyAlignment="1">
      <alignment horizontal="center" vertical="center" wrapText="1"/>
    </xf>
    <xf numFmtId="0" fontId="60" fillId="12" borderId="27" xfId="0" applyFont="1" applyFill="1" applyBorder="1" applyAlignment="1">
      <alignment horizontal="center" vertical="center"/>
    </xf>
    <xf numFmtId="0" fontId="61" fillId="0" borderId="0" xfId="0" applyFont="1" applyAlignment="1">
      <alignment vertical="center"/>
    </xf>
    <xf numFmtId="0" fontId="11" fillId="0" borderId="0" xfId="0" applyFont="1" applyAlignment="1">
      <alignment horizontal="left" vertical="center" indent="2"/>
    </xf>
    <xf numFmtId="0" fontId="62" fillId="0" borderId="0" xfId="0" applyFont="1"/>
    <xf numFmtId="0" fontId="57" fillId="0" borderId="0" xfId="0" applyFont="1" applyAlignment="1">
      <alignment horizontal="left" indent="3"/>
    </xf>
    <xf numFmtId="0" fontId="57" fillId="0" borderId="0" xfId="7" applyNumberFormat="1" applyFont="1" applyFill="1" applyBorder="1" applyAlignment="1" applyProtection="1">
      <alignment horizontal="left" vertical="center" wrapText="1"/>
      <protection hidden="1"/>
    </xf>
    <xf numFmtId="0" fontId="12" fillId="0" borderId="0" xfId="2" applyFont="1"/>
    <xf numFmtId="0" fontId="27" fillId="46" borderId="0" xfId="0" applyFont="1" applyFill="1" applyAlignment="1">
      <alignment horizontal="center" vertical="center"/>
    </xf>
    <xf numFmtId="0" fontId="26" fillId="37" borderId="3" xfId="0" applyFont="1" applyFill="1" applyBorder="1" applyAlignment="1">
      <alignment horizontal="center" vertical="center"/>
    </xf>
    <xf numFmtId="0" fontId="26" fillId="37" borderId="9" xfId="0" applyFont="1" applyFill="1" applyBorder="1" applyAlignment="1">
      <alignment horizontal="center" vertical="center"/>
    </xf>
    <xf numFmtId="0" fontId="26" fillId="37" borderId="4" xfId="0" applyFont="1" applyFill="1" applyBorder="1" applyAlignment="1">
      <alignment horizontal="center" vertical="center"/>
    </xf>
    <xf numFmtId="0" fontId="26" fillId="37" borderId="5" xfId="0" applyFont="1" applyFill="1" applyBorder="1" applyAlignment="1">
      <alignment horizontal="center" vertical="center"/>
    </xf>
    <xf numFmtId="0" fontId="26" fillId="37" borderId="21" xfId="0" applyFont="1" applyFill="1" applyBorder="1" applyAlignment="1">
      <alignment horizontal="center" vertical="center"/>
    </xf>
    <xf numFmtId="0" fontId="26" fillId="37" borderId="22" xfId="0" applyFont="1" applyFill="1" applyBorder="1" applyAlignment="1">
      <alignment horizontal="center" vertical="center"/>
    </xf>
    <xf numFmtId="0" fontId="32" fillId="37" borderId="3" xfId="0" applyFont="1" applyFill="1" applyBorder="1" applyAlignment="1">
      <alignment horizontal="center" vertical="center"/>
    </xf>
    <xf numFmtId="0" fontId="32" fillId="37" borderId="9" xfId="0" applyFont="1" applyFill="1" applyBorder="1" applyAlignment="1">
      <alignment horizontal="center" vertical="center"/>
    </xf>
    <xf numFmtId="0" fontId="32" fillId="37" borderId="4" xfId="0" applyFont="1" applyFill="1" applyBorder="1" applyAlignment="1">
      <alignment horizontal="center" vertical="center"/>
    </xf>
    <xf numFmtId="0" fontId="32" fillId="37" borderId="5" xfId="0" applyFont="1" applyFill="1" applyBorder="1" applyAlignment="1">
      <alignment horizontal="center" vertical="center"/>
    </xf>
    <xf numFmtId="0" fontId="32" fillId="37" borderId="21" xfId="0" applyFont="1" applyFill="1" applyBorder="1" applyAlignment="1">
      <alignment horizontal="center" vertical="center"/>
    </xf>
    <xf numFmtId="0" fontId="32" fillId="37" borderId="22" xfId="0" applyFont="1" applyFill="1" applyBorder="1" applyAlignment="1">
      <alignment horizontal="center" vertical="center"/>
    </xf>
    <xf numFmtId="0" fontId="27" fillId="37" borderId="3" xfId="0" applyFont="1" applyFill="1" applyBorder="1" applyAlignment="1">
      <alignment horizontal="center" vertical="center"/>
    </xf>
    <xf numFmtId="0" fontId="27" fillId="37" borderId="9" xfId="0" applyFont="1" applyFill="1" applyBorder="1" applyAlignment="1">
      <alignment horizontal="center" vertical="center"/>
    </xf>
    <xf numFmtId="0" fontId="27" fillId="37" borderId="4" xfId="0" applyFont="1" applyFill="1" applyBorder="1" applyAlignment="1">
      <alignment horizontal="center" vertical="center"/>
    </xf>
    <xf numFmtId="0" fontId="27" fillId="37" borderId="5" xfId="0" applyFont="1" applyFill="1" applyBorder="1" applyAlignment="1">
      <alignment horizontal="center" vertical="center"/>
    </xf>
    <xf numFmtId="0" fontId="27" fillId="37" borderId="21" xfId="0" applyFont="1" applyFill="1" applyBorder="1" applyAlignment="1">
      <alignment horizontal="center" vertical="center"/>
    </xf>
    <xf numFmtId="0" fontId="27" fillId="37" borderId="22" xfId="0" applyFont="1" applyFill="1" applyBorder="1" applyAlignment="1">
      <alignment horizontal="center" vertical="center"/>
    </xf>
    <xf numFmtId="0" fontId="16" fillId="12" borderId="1" xfId="0" applyFont="1" applyFill="1" applyBorder="1" applyAlignment="1">
      <alignment horizontal="center" vertical="center" wrapText="1"/>
    </xf>
    <xf numFmtId="0" fontId="12" fillId="0" borderId="35" xfId="0" applyFont="1" applyBorder="1" applyAlignment="1">
      <alignment horizontal="left" vertical="top" wrapText="1"/>
    </xf>
    <xf numFmtId="0" fontId="12" fillId="0" borderId="0" xfId="0" applyFont="1" applyAlignment="1">
      <alignment horizontal="left" vertical="top" wrapText="1"/>
    </xf>
    <xf numFmtId="0" fontId="17" fillId="37" borderId="0" xfId="0" applyFont="1" applyFill="1" applyAlignment="1">
      <alignment horizontal="center" vertical="center"/>
    </xf>
    <xf numFmtId="0" fontId="12" fillId="37" borderId="0" xfId="0" applyFont="1" applyFill="1" applyAlignment="1">
      <alignment horizontal="center"/>
    </xf>
    <xf numFmtId="0" fontId="10" fillId="37" borderId="57" xfId="0" applyFont="1" applyFill="1" applyBorder="1" applyAlignment="1">
      <alignment horizontal="center" vertical="center" wrapText="1"/>
    </xf>
    <xf numFmtId="3" fontId="14" fillId="37" borderId="0" xfId="0" applyNumberFormat="1" applyFont="1" applyFill="1" applyAlignment="1">
      <alignment horizontal="center" vertical="center" wrapText="1"/>
    </xf>
    <xf numFmtId="0" fontId="10" fillId="7" borderId="57" xfId="0" applyFont="1" applyFill="1" applyBorder="1" applyAlignment="1">
      <alignment horizontal="center" vertical="center" wrapText="1"/>
    </xf>
    <xf numFmtId="0" fontId="18" fillId="37" borderId="0" xfId="0" applyFont="1" applyFill="1" applyAlignment="1">
      <alignment horizontal="center" vertical="center"/>
    </xf>
    <xf numFmtId="0" fontId="20" fillId="36" borderId="0" xfId="0" applyFont="1" applyFill="1" applyAlignment="1">
      <alignment horizontal="center" vertical="center"/>
    </xf>
    <xf numFmtId="10" fontId="21" fillId="62" borderId="38" xfId="0" applyNumberFormat="1" applyFont="1" applyFill="1" applyBorder="1" applyAlignment="1">
      <alignment horizontal="center" vertical="center" wrapText="1"/>
    </xf>
    <xf numFmtId="10" fontId="21" fillId="62" borderId="51" xfId="0" applyNumberFormat="1" applyFont="1" applyFill="1" applyBorder="1" applyAlignment="1">
      <alignment horizontal="center" vertical="center" wrapText="1"/>
    </xf>
    <xf numFmtId="0" fontId="14" fillId="12" borderId="0" xfId="0" applyFont="1" applyFill="1" applyAlignment="1">
      <alignment horizontal="center" vertical="center" wrapText="1"/>
    </xf>
    <xf numFmtId="0" fontId="39" fillId="40" borderId="0" xfId="0" applyFont="1" applyFill="1" applyAlignment="1">
      <alignment horizontal="center" vertical="center"/>
    </xf>
    <xf numFmtId="0" fontId="36" fillId="10" borderId="55" xfId="0" applyFont="1" applyFill="1" applyBorder="1" applyAlignment="1">
      <alignment horizontal="left" vertical="center" wrapText="1"/>
    </xf>
    <xf numFmtId="0" fontId="10" fillId="10" borderId="60" xfId="0" applyFont="1" applyFill="1" applyBorder="1" applyAlignment="1">
      <alignment horizontal="left" vertical="center" wrapText="1"/>
    </xf>
    <xf numFmtId="0" fontId="10" fillId="0" borderId="28" xfId="0" applyFont="1" applyBorder="1" applyAlignment="1">
      <alignment horizontal="left" vertical="center" wrapText="1"/>
    </xf>
    <xf numFmtId="0" fontId="10" fillId="0" borderId="62" xfId="0" applyFont="1" applyBorder="1" applyAlignment="1">
      <alignment horizontal="left" vertical="center" wrapText="1"/>
    </xf>
    <xf numFmtId="0" fontId="21" fillId="62" borderId="74" xfId="0" applyFont="1" applyFill="1" applyBorder="1" applyAlignment="1">
      <alignment horizontal="center" vertical="center" wrapText="1"/>
    </xf>
    <xf numFmtId="0" fontId="14" fillId="62" borderId="75" xfId="0" applyFont="1" applyFill="1" applyBorder="1" applyAlignment="1">
      <alignment horizontal="center" vertical="center" wrapText="1"/>
    </xf>
    <xf numFmtId="0" fontId="21" fillId="62" borderId="38" xfId="0" applyFont="1" applyFill="1" applyBorder="1" applyAlignment="1">
      <alignment horizontal="center" vertical="center" wrapText="1"/>
    </xf>
    <xf numFmtId="0" fontId="14" fillId="62" borderId="51" xfId="0" applyFont="1" applyFill="1" applyBorder="1" applyAlignment="1">
      <alignment horizontal="center" vertical="center" wrapText="1"/>
    </xf>
    <xf numFmtId="10" fontId="10" fillId="37"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36" fillId="15" borderId="66" xfId="0" applyFont="1" applyFill="1" applyBorder="1" applyAlignment="1">
      <alignment horizontal="center" vertical="center" wrapText="1"/>
    </xf>
    <xf numFmtId="0" fontId="36" fillId="15" borderId="67" xfId="0" applyFont="1" applyFill="1" applyBorder="1" applyAlignment="1">
      <alignment horizontal="center" vertical="center" wrapText="1"/>
    </xf>
    <xf numFmtId="0" fontId="38" fillId="10" borderId="0" xfId="0" applyFont="1" applyFill="1" applyAlignment="1">
      <alignment horizontal="center" vertical="center" wrapText="1"/>
    </xf>
    <xf numFmtId="0" fontId="10" fillId="22" borderId="29" xfId="0" applyFont="1" applyFill="1" applyBorder="1" applyAlignment="1">
      <alignment horizontal="left" vertical="center" wrapText="1"/>
    </xf>
    <xf numFmtId="0" fontId="10" fillId="22" borderId="31" xfId="0" applyFont="1" applyFill="1" applyBorder="1" applyAlignment="1">
      <alignment horizontal="left" vertical="center" wrapText="1"/>
    </xf>
    <xf numFmtId="0" fontId="36" fillId="22" borderId="29" xfId="0" applyFont="1" applyFill="1" applyBorder="1" applyAlignment="1">
      <alignment horizontal="left" vertical="center" wrapText="1"/>
    </xf>
    <xf numFmtId="0" fontId="10" fillId="22" borderId="32" xfId="0" applyFont="1" applyFill="1" applyBorder="1" applyAlignment="1">
      <alignment horizontal="left" vertical="center" wrapText="1"/>
    </xf>
    <xf numFmtId="0" fontId="38" fillId="9" borderId="0" xfId="0" applyFont="1" applyFill="1" applyAlignment="1">
      <alignment horizontal="center" vertical="center" wrapText="1"/>
    </xf>
    <xf numFmtId="0" fontId="10" fillId="33" borderId="52" xfId="0" applyFont="1" applyFill="1" applyBorder="1" applyAlignment="1">
      <alignment horizontal="center" vertical="center"/>
    </xf>
    <xf numFmtId="0" fontId="10" fillId="33" borderId="61" xfId="0" applyFont="1" applyFill="1" applyBorder="1" applyAlignment="1">
      <alignment horizontal="center" vertical="center"/>
    </xf>
    <xf numFmtId="0" fontId="10" fillId="33" borderId="47" xfId="0" applyFont="1" applyFill="1" applyBorder="1" applyAlignment="1">
      <alignment horizontal="center" vertical="center"/>
    </xf>
    <xf numFmtId="0" fontId="10" fillId="11" borderId="26" xfId="0" applyFont="1" applyFill="1" applyBorder="1" applyAlignment="1">
      <alignment horizontal="center" vertical="center"/>
    </xf>
    <xf numFmtId="0" fontId="10" fillId="11" borderId="34" xfId="0" applyFont="1" applyFill="1" applyBorder="1" applyAlignment="1">
      <alignment horizontal="center" vertical="center"/>
    </xf>
    <xf numFmtId="0" fontId="10" fillId="11" borderId="30" xfId="0" applyFont="1" applyFill="1" applyBorder="1" applyAlignment="1">
      <alignment horizontal="center" vertical="center"/>
    </xf>
    <xf numFmtId="0" fontId="14" fillId="33" borderId="55" xfId="0" applyFont="1" applyFill="1" applyBorder="1" applyAlignment="1">
      <alignment horizontal="center" vertical="center" wrapText="1"/>
    </xf>
    <xf numFmtId="0" fontId="14" fillId="0" borderId="28" xfId="0" applyFont="1" applyBorder="1" applyAlignment="1">
      <alignment horizontal="center" vertical="center" wrapText="1"/>
    </xf>
    <xf numFmtId="0" fontId="14" fillId="11" borderId="55" xfId="0" applyFont="1" applyFill="1" applyBorder="1" applyAlignment="1">
      <alignment horizontal="left" vertical="center" wrapText="1"/>
    </xf>
    <xf numFmtId="0" fontId="14" fillId="11" borderId="28" xfId="0" applyFont="1" applyFill="1" applyBorder="1" applyAlignment="1">
      <alignment horizontal="left" vertical="center" wrapText="1"/>
    </xf>
    <xf numFmtId="0" fontId="14" fillId="10" borderId="55" xfId="0" applyFont="1" applyFill="1" applyBorder="1" applyAlignment="1">
      <alignment horizontal="left" vertical="center" wrapText="1"/>
    </xf>
    <xf numFmtId="0" fontId="14" fillId="10" borderId="60"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62" xfId="0" applyFont="1" applyBorder="1" applyAlignment="1">
      <alignment horizontal="left" vertical="center" wrapText="1"/>
    </xf>
    <xf numFmtId="0" fontId="10" fillId="29" borderId="20" xfId="0" applyFont="1" applyFill="1" applyBorder="1" applyAlignment="1">
      <alignment horizontal="center" vertical="center" wrapText="1"/>
    </xf>
    <xf numFmtId="0" fontId="10" fillId="29" borderId="35" xfId="0" applyFont="1" applyFill="1" applyBorder="1" applyAlignment="1">
      <alignment horizontal="center" vertical="center" wrapText="1"/>
    </xf>
    <xf numFmtId="0" fontId="14" fillId="0" borderId="18" xfId="0" applyFont="1" applyBorder="1" applyAlignment="1">
      <alignment horizontal="center" vertical="center" wrapText="1"/>
    </xf>
    <xf numFmtId="0" fontId="12"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23" borderId="1" xfId="0" applyFont="1" applyFill="1" applyBorder="1" applyAlignment="1">
      <alignment horizontal="center" vertical="center" wrapText="1"/>
    </xf>
    <xf numFmtId="0" fontId="12" fillId="9" borderId="27" xfId="0" applyFont="1" applyFill="1" applyBorder="1" applyAlignment="1">
      <alignment horizontal="center" vertical="center" wrapText="1"/>
    </xf>
    <xf numFmtId="0" fontId="12" fillId="28" borderId="1"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15" borderId="29" xfId="0" applyFont="1" applyFill="1" applyBorder="1" applyAlignment="1">
      <alignment horizontal="center" vertical="center" wrapText="1"/>
    </xf>
    <xf numFmtId="0" fontId="12" fillId="15" borderId="31" xfId="0" applyFont="1" applyFill="1" applyBorder="1" applyAlignment="1">
      <alignment horizontal="center" vertical="center" wrapText="1"/>
    </xf>
    <xf numFmtId="0" fontId="12" fillId="11" borderId="29" xfId="0" applyFont="1" applyFill="1" applyBorder="1" applyAlignment="1">
      <alignment horizontal="center" vertical="center" wrapText="1"/>
    </xf>
    <xf numFmtId="0" fontId="12" fillId="11" borderId="31" xfId="0" applyFont="1" applyFill="1" applyBorder="1" applyAlignment="1">
      <alignment horizontal="center" vertical="center" wrapText="1"/>
    </xf>
    <xf numFmtId="0" fontId="12" fillId="0" borderId="0" xfId="0" applyFont="1"/>
    <xf numFmtId="0" fontId="26" fillId="37" borderId="1" xfId="0" applyFont="1" applyFill="1" applyBorder="1" applyAlignment="1">
      <alignment horizontal="center" vertical="center"/>
    </xf>
    <xf numFmtId="0" fontId="16" fillId="40" borderId="15" xfId="0" applyFont="1" applyFill="1" applyBorder="1" applyAlignment="1">
      <alignment horizontal="center" vertical="center" wrapText="1"/>
    </xf>
    <xf numFmtId="0" fontId="16" fillId="40" borderId="16" xfId="0" applyFont="1" applyFill="1" applyBorder="1" applyAlignment="1">
      <alignment horizontal="center" vertical="center" wrapText="1"/>
    </xf>
    <xf numFmtId="0" fontId="16" fillId="40" borderId="2" xfId="0" applyFont="1" applyFill="1" applyBorder="1" applyAlignment="1">
      <alignment horizontal="center" vertical="center" wrapText="1"/>
    </xf>
    <xf numFmtId="0" fontId="55" fillId="57" borderId="38" xfId="5" applyFont="1" applyBorder="1" applyAlignment="1">
      <alignment horizontal="center" vertical="center" wrapText="1"/>
    </xf>
    <xf numFmtId="0" fontId="16" fillId="5" borderId="1" xfId="0" applyFont="1" applyFill="1" applyBorder="1" applyAlignment="1">
      <alignment horizontal="center" vertical="center" wrapText="1"/>
    </xf>
    <xf numFmtId="0" fontId="16" fillId="15" borderId="1" xfId="0" applyFont="1" applyFill="1" applyBorder="1" applyAlignment="1">
      <alignment horizontal="center" vertical="center" wrapText="1"/>
    </xf>
    <xf numFmtId="0" fontId="16" fillId="45" borderId="1" xfId="0" applyFont="1" applyFill="1" applyBorder="1" applyAlignment="1">
      <alignment horizontal="center" vertical="center" wrapText="1"/>
    </xf>
    <xf numFmtId="0" fontId="8" fillId="41" borderId="1" xfId="0" applyFont="1" applyFill="1" applyBorder="1" applyAlignment="1">
      <alignment horizontal="center" vertical="center"/>
    </xf>
    <xf numFmtId="0" fontId="24" fillId="0" borderId="0" xfId="0" applyFont="1" applyAlignment="1">
      <alignment wrapText="1"/>
    </xf>
    <xf numFmtId="0" fontId="8" fillId="15" borderId="1" xfId="0" applyFont="1" applyFill="1" applyBorder="1" applyAlignment="1">
      <alignment horizontal="center" vertical="center" wrapText="1"/>
    </xf>
    <xf numFmtId="0" fontId="8" fillId="26"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0" fontId="16" fillId="0" borderId="1" xfId="0" applyFont="1" applyBorder="1" applyAlignment="1">
      <alignment horizontal="right" vertical="center" wrapText="1"/>
    </xf>
    <xf numFmtId="0" fontId="12" fillId="41" borderId="1" xfId="0" applyFont="1" applyFill="1" applyBorder="1" applyAlignment="1">
      <alignment horizontal="center" vertical="center" wrapText="1"/>
    </xf>
    <xf numFmtId="0" fontId="12" fillId="33" borderId="1" xfId="0" applyFont="1" applyFill="1" applyBorder="1" applyAlignment="1">
      <alignment horizontal="center" vertical="center" wrapText="1"/>
    </xf>
    <xf numFmtId="0" fontId="0" fillId="0" borderId="0" xfId="0"/>
    <xf numFmtId="0" fontId="12" fillId="40" borderId="1" xfId="0" applyFont="1" applyFill="1" applyBorder="1" applyAlignment="1">
      <alignment horizontal="center" vertical="center" wrapText="1"/>
    </xf>
    <xf numFmtId="0" fontId="12" fillId="45"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12" fillId="36"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2" fillId="30" borderId="1" xfId="0" applyFont="1" applyFill="1" applyBorder="1" applyAlignment="1">
      <alignment horizontal="center" vertical="center" wrapText="1"/>
    </xf>
    <xf numFmtId="0" fontId="12" fillId="23" borderId="1" xfId="0" applyFont="1" applyFill="1" applyBorder="1" applyAlignment="1">
      <alignment horizontal="center" vertical="center" wrapText="1"/>
    </xf>
    <xf numFmtId="0" fontId="12" fillId="27"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12" borderId="1" xfId="0" applyFont="1" applyFill="1" applyBorder="1" applyAlignment="1">
      <alignment horizontal="center" vertical="center" wrapText="1"/>
    </xf>
    <xf numFmtId="175" fontId="12" fillId="9" borderId="15" xfId="0" applyNumberFormat="1" applyFont="1" applyFill="1" applyBorder="1" applyAlignment="1">
      <alignment horizontal="center" vertical="center"/>
    </xf>
    <xf numFmtId="175" fontId="12" fillId="9" borderId="16" xfId="0" applyNumberFormat="1" applyFont="1" applyFill="1" applyBorder="1" applyAlignment="1">
      <alignment horizontal="center" vertical="center"/>
    </xf>
    <xf numFmtId="175" fontId="12" fillId="9" borderId="2" xfId="0" applyNumberFormat="1" applyFont="1" applyFill="1" applyBorder="1" applyAlignment="1">
      <alignment horizontal="center" vertical="center"/>
    </xf>
    <xf numFmtId="0" fontId="3" fillId="28" borderId="1" xfId="0" applyFont="1" applyFill="1" applyBorder="1" applyAlignment="1">
      <alignment horizontal="center" vertical="center" wrapText="1"/>
    </xf>
    <xf numFmtId="0" fontId="3" fillId="28" borderId="1" xfId="0" applyFont="1" applyFill="1" applyBorder="1" applyAlignment="1">
      <alignment vertical="center" wrapText="1"/>
    </xf>
    <xf numFmtId="0" fontId="3" fillId="18" borderId="1" xfId="0" applyFont="1" applyFill="1" applyBorder="1" applyAlignment="1">
      <alignment horizontal="center" vertical="center" wrapText="1"/>
    </xf>
    <xf numFmtId="0" fontId="2" fillId="30" borderId="1" xfId="0" applyFont="1" applyFill="1" applyBorder="1" applyAlignment="1">
      <alignment vertical="center"/>
    </xf>
    <xf numFmtId="0" fontId="2" fillId="7" borderId="1" xfId="0" applyFont="1" applyFill="1" applyBorder="1" applyAlignment="1">
      <alignment vertical="center" wrapText="1"/>
    </xf>
    <xf numFmtId="0" fontId="16" fillId="0" borderId="1" xfId="0" applyFont="1" applyBorder="1" applyAlignment="1">
      <alignment horizontal="center" vertical="center"/>
    </xf>
    <xf numFmtId="2" fontId="16" fillId="0" borderId="1" xfId="2" applyNumberFormat="1"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37" borderId="29" xfId="0" applyFont="1" applyFill="1" applyBorder="1" applyAlignment="1">
      <alignment horizontal="center" vertical="center"/>
    </xf>
    <xf numFmtId="0" fontId="2" fillId="37" borderId="32" xfId="0" applyFont="1" applyFill="1" applyBorder="1" applyAlignment="1">
      <alignment horizontal="center" vertical="center"/>
    </xf>
    <xf numFmtId="0" fontId="2" fillId="37" borderId="31" xfId="0" applyFont="1" applyFill="1" applyBorder="1" applyAlignment="1">
      <alignment horizontal="center" vertical="center"/>
    </xf>
    <xf numFmtId="0" fontId="2" fillId="0" borderId="1" xfId="0" applyFont="1" applyBorder="1" applyAlignment="1">
      <alignment horizontal="center" vertical="center" wrapText="1"/>
    </xf>
    <xf numFmtId="0" fontId="6" fillId="26" borderId="29" xfId="0" applyFont="1" applyFill="1" applyBorder="1" applyAlignment="1">
      <alignment horizontal="center" vertical="center"/>
    </xf>
    <xf numFmtId="0" fontId="6" fillId="26" borderId="32" xfId="0" applyFont="1" applyFill="1" applyBorder="1" applyAlignment="1">
      <alignment horizontal="center" vertical="center"/>
    </xf>
    <xf numFmtId="175" fontId="12" fillId="4" borderId="1" xfId="0" applyNumberFormat="1" applyFont="1" applyFill="1" applyBorder="1" applyAlignment="1">
      <alignment horizontal="center" vertical="center"/>
    </xf>
    <xf numFmtId="0" fontId="16" fillId="0" borderId="15" xfId="0" applyFont="1" applyBorder="1" applyAlignment="1">
      <alignment horizontal="center" vertical="center" wrapText="1"/>
    </xf>
    <xf numFmtId="0" fontId="16" fillId="0" borderId="2" xfId="0" applyFont="1" applyBorder="1" applyAlignment="1">
      <alignment horizontal="center" vertical="center" wrapText="1"/>
    </xf>
    <xf numFmtId="0" fontId="12" fillId="15" borderId="27" xfId="0" applyFont="1" applyFill="1" applyBorder="1" applyAlignment="1">
      <alignment horizontal="center" vertical="center" wrapText="1"/>
    </xf>
    <xf numFmtId="0" fontId="12" fillId="0" borderId="18" xfId="0" applyFont="1" applyBorder="1" applyAlignment="1">
      <alignment horizontal="center" vertical="center"/>
    </xf>
    <xf numFmtId="0" fontId="12" fillId="0" borderId="17" xfId="0" applyFont="1" applyBorder="1" applyAlignment="1">
      <alignment horizontal="center" vertical="center"/>
    </xf>
    <xf numFmtId="0" fontId="12" fillId="0" borderId="15" xfId="0" applyFont="1" applyBorder="1" applyAlignment="1">
      <alignment horizontal="center" vertical="center"/>
    </xf>
    <xf numFmtId="0" fontId="12" fillId="0" borderId="2" xfId="0" applyFont="1" applyBorder="1" applyAlignment="1">
      <alignment horizontal="center" vertical="center"/>
    </xf>
    <xf numFmtId="0" fontId="16" fillId="39" borderId="1" xfId="0" applyFont="1" applyFill="1" applyBorder="1" applyAlignment="1">
      <alignment horizontal="center" vertical="center"/>
    </xf>
    <xf numFmtId="0" fontId="16" fillId="9" borderId="1" xfId="0" applyFont="1" applyFill="1" applyBorder="1" applyAlignment="1">
      <alignment horizontal="center" vertical="center"/>
    </xf>
    <xf numFmtId="2" fontId="12" fillId="39" borderId="1" xfId="0" applyNumberFormat="1" applyFont="1" applyFill="1" applyBorder="1" applyAlignment="1">
      <alignment horizontal="center" vertical="center"/>
    </xf>
    <xf numFmtId="0" fontId="16" fillId="39" borderId="1" xfId="0" applyFont="1" applyFill="1" applyBorder="1" applyAlignment="1">
      <alignment horizontal="center" vertical="center" wrapText="1"/>
    </xf>
    <xf numFmtId="0" fontId="16" fillId="40" borderId="1" xfId="0" applyFont="1" applyFill="1" applyBorder="1" applyAlignment="1">
      <alignment horizontal="center" vertical="center"/>
    </xf>
    <xf numFmtId="0" fontId="16" fillId="42" borderId="15" xfId="0" applyFont="1" applyFill="1" applyBorder="1" applyAlignment="1">
      <alignment horizontal="left" vertical="center" wrapText="1"/>
    </xf>
    <xf numFmtId="0" fontId="16" fillId="42" borderId="2" xfId="0" applyFont="1" applyFill="1" applyBorder="1" applyAlignment="1">
      <alignment horizontal="left" vertical="center" wrapText="1"/>
    </xf>
    <xf numFmtId="0" fontId="16" fillId="42" borderId="1" xfId="0" applyFont="1" applyFill="1" applyBorder="1" applyAlignment="1">
      <alignment horizontal="right" vertical="center"/>
    </xf>
    <xf numFmtId="0" fontId="12" fillId="0" borderId="38" xfId="0" applyFont="1" applyBorder="1" applyAlignment="1">
      <alignment horizontal="center" vertical="center"/>
    </xf>
    <xf numFmtId="0" fontId="12" fillId="0" borderId="29" xfId="0" applyFont="1" applyBorder="1" applyAlignment="1">
      <alignment horizontal="center" vertical="center"/>
    </xf>
    <xf numFmtId="0" fontId="12" fillId="0" borderId="1" xfId="0" applyFont="1" applyBorder="1" applyAlignment="1">
      <alignment horizontal="right" vertical="center" wrapText="1"/>
    </xf>
    <xf numFmtId="175" fontId="6" fillId="39"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12" fillId="0" borderId="1" xfId="0" applyFont="1" applyBorder="1" applyAlignment="1">
      <alignment horizontal="left" vertical="center" wrapText="1"/>
    </xf>
    <xf numFmtId="173" fontId="6" fillId="39" borderId="1" xfId="3" applyNumberFormat="1" applyFont="1" applyFill="1" applyBorder="1" applyAlignment="1">
      <alignment horizontal="center" vertical="center"/>
    </xf>
    <xf numFmtId="0" fontId="43" fillId="0" borderId="1" xfId="0" applyFont="1" applyBorder="1" applyAlignment="1">
      <alignment horizontal="center" vertical="center" wrapText="1"/>
    </xf>
    <xf numFmtId="0" fontId="16" fillId="3" borderId="1" xfId="0" applyFont="1" applyFill="1" applyBorder="1" applyAlignment="1">
      <alignment horizontal="center" vertical="center"/>
    </xf>
    <xf numFmtId="0" fontId="43" fillId="0" borderId="49" xfId="0" applyFont="1" applyBorder="1" applyAlignment="1">
      <alignment horizontal="center" vertical="center" wrapText="1"/>
    </xf>
    <xf numFmtId="0" fontId="43" fillId="0" borderId="54" xfId="0" applyFont="1" applyBorder="1" applyAlignment="1">
      <alignment horizontal="center" vertical="center" wrapText="1"/>
    </xf>
    <xf numFmtId="0" fontId="43" fillId="0" borderId="70" xfId="0" applyFont="1" applyBorder="1" applyAlignment="1">
      <alignment horizontal="center" vertical="center" wrapText="1"/>
    </xf>
    <xf numFmtId="0" fontId="43" fillId="0" borderId="62" xfId="0" applyFont="1" applyBorder="1" applyAlignment="1">
      <alignment horizontal="center" vertical="center" wrapText="1"/>
    </xf>
    <xf numFmtId="0" fontId="6" fillId="7" borderId="1" xfId="0" applyFont="1" applyFill="1" applyBorder="1" applyAlignment="1">
      <alignment horizontal="center" vertical="center"/>
    </xf>
    <xf numFmtId="175" fontId="6" fillId="0" borderId="1" xfId="0" applyNumberFormat="1" applyFont="1" applyBorder="1" applyAlignment="1">
      <alignment horizontal="center" vertical="center"/>
    </xf>
    <xf numFmtId="0" fontId="16" fillId="3" borderId="7"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43" fillId="0" borderId="37" xfId="0" applyFont="1" applyBorder="1" applyAlignment="1">
      <alignment horizontal="center" vertical="center" wrapText="1"/>
    </xf>
    <xf numFmtId="0" fontId="16" fillId="32" borderId="26" xfId="0" applyFont="1" applyFill="1" applyBorder="1" applyAlignment="1">
      <alignment horizontal="center" vertical="center" wrapText="1"/>
    </xf>
    <xf numFmtId="0" fontId="16" fillId="32" borderId="34" xfId="0" applyFont="1" applyFill="1" applyBorder="1" applyAlignment="1">
      <alignment horizontal="center" vertical="center" wrapText="1"/>
    </xf>
    <xf numFmtId="0" fontId="16" fillId="32" borderId="39" xfId="0" applyFont="1" applyFill="1" applyBorder="1" applyAlignment="1">
      <alignment horizontal="center" vertical="center" wrapText="1"/>
    </xf>
    <xf numFmtId="0" fontId="16" fillId="32" borderId="40"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0" fillId="0" borderId="1" xfId="0" applyBorder="1" applyAlignment="1">
      <alignment horizontal="center" vertical="center"/>
    </xf>
    <xf numFmtId="0" fontId="16" fillId="8" borderId="1" xfId="0" applyFont="1" applyFill="1" applyBorder="1" applyAlignment="1">
      <alignment horizontal="center" vertical="center"/>
    </xf>
    <xf numFmtId="173" fontId="16" fillId="44" borderId="26" xfId="4" applyNumberFormat="1" applyFont="1" applyFill="1" applyBorder="1" applyAlignment="1">
      <alignment horizontal="center" vertical="center"/>
    </xf>
    <xf numFmtId="173" fontId="16" fillId="44" borderId="30" xfId="4" applyNumberFormat="1" applyFont="1" applyFill="1" applyBorder="1" applyAlignment="1">
      <alignment horizontal="center" vertical="center"/>
    </xf>
    <xf numFmtId="173" fontId="16" fillId="5" borderId="7" xfId="4" applyNumberFormat="1" applyFont="1" applyFill="1" applyBorder="1" applyAlignment="1">
      <alignment horizontal="center" vertical="center" wrapText="1"/>
    </xf>
    <xf numFmtId="173" fontId="16" fillId="5" borderId="8" xfId="4" applyNumberFormat="1" applyFont="1" applyFill="1" applyBorder="1" applyAlignment="1">
      <alignment horizontal="center" vertical="center" wrapText="1"/>
    </xf>
    <xf numFmtId="0" fontId="16" fillId="14" borderId="26" xfId="0" applyFont="1" applyFill="1" applyBorder="1" applyAlignment="1">
      <alignment horizontal="center" vertical="center" wrapText="1"/>
    </xf>
    <xf numFmtId="0" fontId="16" fillId="14" borderId="34" xfId="0" applyFont="1" applyFill="1" applyBorder="1" applyAlignment="1">
      <alignment horizontal="center" vertical="center" wrapText="1"/>
    </xf>
    <xf numFmtId="0" fontId="16" fillId="14" borderId="30" xfId="0" applyFont="1" applyFill="1" applyBorder="1" applyAlignment="1">
      <alignment horizontal="center" vertical="center" wrapText="1"/>
    </xf>
    <xf numFmtId="0" fontId="12" fillId="0" borderId="6" xfId="0" applyFont="1" applyBorder="1" applyAlignment="1">
      <alignment vertical="center" wrapText="1"/>
    </xf>
    <xf numFmtId="0" fontId="12" fillId="0" borderId="1" xfId="0" applyFont="1" applyBorder="1" applyAlignment="1">
      <alignment wrapText="1"/>
    </xf>
    <xf numFmtId="0" fontId="16" fillId="3" borderId="10" xfId="0" applyFont="1" applyFill="1" applyBorder="1" applyAlignment="1">
      <alignment horizontal="left" vertical="center" wrapText="1"/>
    </xf>
    <xf numFmtId="0" fontId="12" fillId="3" borderId="11" xfId="0" applyFont="1" applyFill="1" applyBorder="1" applyAlignment="1">
      <alignment horizontal="left" wrapText="1"/>
    </xf>
    <xf numFmtId="0" fontId="12" fillId="3" borderId="12" xfId="0" applyFont="1" applyFill="1" applyBorder="1" applyAlignment="1">
      <alignment horizontal="left" wrapText="1"/>
    </xf>
    <xf numFmtId="0" fontId="16" fillId="8" borderId="1" xfId="0" applyFont="1" applyFill="1" applyBorder="1" applyAlignment="1">
      <alignment horizontal="left" vertical="center" wrapText="1"/>
    </xf>
    <xf numFmtId="0" fontId="16" fillId="11" borderId="1" xfId="0" applyFont="1" applyFill="1" applyBorder="1" applyAlignment="1">
      <alignment horizontal="left" vertical="center" wrapText="1"/>
    </xf>
    <xf numFmtId="0" fontId="12" fillId="0" borderId="1" xfId="0" applyFont="1" applyBorder="1" applyAlignment="1">
      <alignment vertical="center" wrapText="1"/>
    </xf>
    <xf numFmtId="0" fontId="16" fillId="11" borderId="1" xfId="0" applyFont="1" applyFill="1" applyBorder="1" applyAlignment="1">
      <alignment horizontal="center" vertical="center"/>
    </xf>
    <xf numFmtId="0" fontId="16" fillId="61" borderId="7" xfId="0" applyFont="1" applyFill="1" applyBorder="1" applyAlignment="1">
      <alignment horizontal="center" vertical="center" wrapText="1"/>
    </xf>
    <xf numFmtId="0" fontId="16" fillId="61" borderId="8" xfId="0" applyFont="1" applyFill="1" applyBorder="1" applyAlignment="1">
      <alignment horizontal="center" vertical="center" wrapText="1"/>
    </xf>
    <xf numFmtId="0" fontId="16" fillId="37" borderId="1"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165" fontId="12" fillId="0" borderId="0" xfId="0" applyNumberFormat="1" applyFont="1" applyAlignment="1">
      <alignment horizontal="right" vertical="center" wrapText="1"/>
    </xf>
    <xf numFmtId="175" fontId="12" fillId="0" borderId="27" xfId="0" applyNumberFormat="1" applyFont="1" applyBorder="1" applyAlignment="1">
      <alignment horizontal="right" vertical="center" wrapText="1"/>
    </xf>
    <xf numFmtId="175" fontId="12" fillId="0" borderId="28" xfId="0" applyNumberFormat="1" applyFont="1" applyBorder="1" applyAlignment="1">
      <alignment horizontal="right" vertical="center" wrapText="1"/>
    </xf>
    <xf numFmtId="175" fontId="12" fillId="0" borderId="71" xfId="0" applyNumberFormat="1" applyFont="1" applyBorder="1" applyAlignment="1">
      <alignment horizontal="right" vertical="center" wrapText="1"/>
    </xf>
    <xf numFmtId="175" fontId="12" fillId="0" borderId="64" xfId="0" applyNumberFormat="1" applyFont="1" applyBorder="1" applyAlignment="1">
      <alignment horizontal="right" vertical="center" wrapText="1"/>
    </xf>
    <xf numFmtId="175" fontId="12" fillId="0" borderId="65" xfId="0" applyNumberFormat="1" applyFont="1" applyBorder="1" applyAlignment="1">
      <alignment horizontal="right" vertical="center" wrapText="1"/>
    </xf>
    <xf numFmtId="0" fontId="16" fillId="3" borderId="15"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12" fillId="3" borderId="1" xfId="0" applyFont="1" applyFill="1" applyBorder="1"/>
    <xf numFmtId="0" fontId="16" fillId="38" borderId="55" xfId="0" applyFont="1" applyFill="1" applyBorder="1" applyAlignment="1">
      <alignment horizontal="center" vertical="center"/>
    </xf>
    <xf numFmtId="0" fontId="16" fillId="38" borderId="28" xfId="0" applyFont="1" applyFill="1" applyBorder="1" applyAlignment="1">
      <alignment horizontal="center" vertical="center"/>
    </xf>
    <xf numFmtId="0" fontId="16" fillId="19" borderId="1" xfId="0" applyFont="1" applyFill="1" applyBorder="1" applyAlignment="1">
      <alignment horizontal="center" vertical="center" wrapText="1"/>
    </xf>
    <xf numFmtId="0" fontId="12" fillId="0" borderId="1" xfId="0" applyFont="1" applyBorder="1" applyAlignment="1">
      <alignment horizontal="center" vertical="center"/>
    </xf>
    <xf numFmtId="0" fontId="12" fillId="39" borderId="1" xfId="0" applyFont="1" applyFill="1" applyBorder="1" applyAlignment="1">
      <alignment horizontal="center" vertical="center"/>
    </xf>
    <xf numFmtId="0" fontId="12" fillId="12" borderId="1" xfId="0" applyFont="1" applyFill="1" applyBorder="1" applyAlignment="1">
      <alignment horizontal="center" vertical="center"/>
    </xf>
    <xf numFmtId="0" fontId="16" fillId="8" borderId="27" xfId="0" applyFont="1" applyFill="1" applyBorder="1" applyAlignment="1">
      <alignment horizontal="center" vertical="center" wrapText="1"/>
    </xf>
    <xf numFmtId="0" fontId="16" fillId="11" borderId="38" xfId="0" applyFont="1" applyFill="1" applyBorder="1" applyAlignment="1">
      <alignment horizontal="center" vertical="center" wrapText="1"/>
    </xf>
    <xf numFmtId="0" fontId="16" fillId="11" borderId="44" xfId="0" applyFont="1" applyFill="1" applyBorder="1" applyAlignment="1">
      <alignment horizontal="center" vertical="center" wrapText="1"/>
    </xf>
    <xf numFmtId="0" fontId="16" fillId="11" borderId="51" xfId="0" applyFont="1" applyFill="1" applyBorder="1" applyAlignment="1">
      <alignment horizontal="center" vertical="center" wrapText="1"/>
    </xf>
    <xf numFmtId="0" fontId="16" fillId="12" borderId="44" xfId="0" applyFont="1" applyFill="1" applyBorder="1" applyAlignment="1">
      <alignment horizontal="center" vertical="center" wrapText="1"/>
    </xf>
    <xf numFmtId="0" fontId="16" fillId="12" borderId="51" xfId="0" applyFont="1" applyFill="1" applyBorder="1" applyAlignment="1">
      <alignment horizontal="center" vertical="center" wrapText="1"/>
    </xf>
    <xf numFmtId="0" fontId="16" fillId="8" borderId="38" xfId="0" applyFont="1" applyFill="1" applyBorder="1" applyAlignment="1">
      <alignment horizontal="center" vertical="center" wrapText="1"/>
    </xf>
    <xf numFmtId="0" fontId="16" fillId="13" borderId="29" xfId="0" applyFont="1" applyFill="1" applyBorder="1" applyAlignment="1">
      <alignment horizontal="center" vertical="center" wrapText="1"/>
    </xf>
    <xf numFmtId="0" fontId="16" fillId="13" borderId="32" xfId="0" applyFont="1" applyFill="1" applyBorder="1" applyAlignment="1">
      <alignment horizontal="center" vertical="center" wrapText="1"/>
    </xf>
    <xf numFmtId="0" fontId="16" fillId="13" borderId="31" xfId="0" applyFont="1" applyFill="1" applyBorder="1" applyAlignment="1">
      <alignment horizontal="center" vertical="center" wrapText="1"/>
    </xf>
    <xf numFmtId="0" fontId="48" fillId="0" borderId="0" xfId="0" applyFont="1" applyAlignment="1">
      <alignment horizontal="left" wrapText="1"/>
    </xf>
    <xf numFmtId="0" fontId="16" fillId="12" borderId="55" xfId="0" applyFont="1" applyFill="1" applyBorder="1" applyAlignment="1">
      <alignment horizontal="center" vertical="center" wrapText="1"/>
    </xf>
    <xf numFmtId="0" fontId="16" fillId="12" borderId="58" xfId="0" applyFont="1" applyFill="1" applyBorder="1" applyAlignment="1">
      <alignment horizontal="center" vertical="center" wrapText="1"/>
    </xf>
    <xf numFmtId="0" fontId="16" fillId="12" borderId="28" xfId="0" applyFont="1" applyFill="1" applyBorder="1" applyAlignment="1">
      <alignment horizontal="center" vertical="center" wrapText="1"/>
    </xf>
    <xf numFmtId="0" fontId="16" fillId="12" borderId="50" xfId="0" applyFont="1" applyFill="1" applyBorder="1" applyAlignment="1">
      <alignment horizontal="center" vertical="center" wrapText="1"/>
    </xf>
    <xf numFmtId="0" fontId="16" fillId="10" borderId="27" xfId="0" applyFont="1" applyFill="1" applyBorder="1" applyAlignment="1">
      <alignment horizontal="center" vertical="center"/>
    </xf>
    <xf numFmtId="0" fontId="16" fillId="12" borderId="29" xfId="0" applyFont="1" applyFill="1" applyBorder="1" applyAlignment="1">
      <alignment horizontal="center" vertical="center" wrapText="1"/>
    </xf>
    <xf numFmtId="0" fontId="16" fillId="12" borderId="31" xfId="0" applyFont="1" applyFill="1" applyBorder="1" applyAlignment="1">
      <alignment horizontal="center" vertical="center" wrapText="1"/>
    </xf>
    <xf numFmtId="0" fontId="12" fillId="0" borderId="27" xfId="0" applyFont="1" applyBorder="1" applyAlignment="1">
      <alignment horizontal="left" vertical="center" wrapText="1"/>
    </xf>
    <xf numFmtId="173" fontId="16" fillId="39" borderId="27" xfId="4" applyNumberFormat="1" applyFont="1" applyFill="1" applyBorder="1" applyAlignment="1">
      <alignment horizontal="center" vertical="center" wrapText="1"/>
    </xf>
    <xf numFmtId="173" fontId="16" fillId="39" borderId="38" xfId="4" applyNumberFormat="1" applyFont="1" applyFill="1" applyBorder="1" applyAlignment="1">
      <alignment horizontal="center" vertical="center" wrapText="1"/>
    </xf>
    <xf numFmtId="173" fontId="16" fillId="39" borderId="44" xfId="4" applyNumberFormat="1" applyFont="1" applyFill="1" applyBorder="1" applyAlignment="1">
      <alignment horizontal="center" vertical="center" wrapText="1"/>
    </xf>
    <xf numFmtId="173" fontId="16" fillId="39" borderId="51" xfId="4" applyNumberFormat="1" applyFont="1" applyFill="1" applyBorder="1" applyAlignment="1">
      <alignment horizontal="center" vertical="center" wrapText="1"/>
    </xf>
    <xf numFmtId="0" fontId="11" fillId="0" borderId="0" xfId="0" applyFont="1" applyAlignment="1">
      <alignment horizontal="left" vertical="center" indent="3"/>
    </xf>
    <xf numFmtId="0" fontId="11" fillId="0" borderId="0" xfId="0" applyFont="1" applyAlignment="1">
      <alignment horizontal="left" vertical="center" wrapText="1" indent="3"/>
    </xf>
    <xf numFmtId="0" fontId="61" fillId="0" borderId="0" xfId="0" applyFont="1" applyAlignment="1">
      <alignment horizontal="left" vertical="center" indent="1"/>
    </xf>
    <xf numFmtId="0" fontId="63" fillId="0" borderId="0" xfId="0" applyFont="1" applyAlignment="1">
      <alignment horizontal="left" vertical="center" indent="3"/>
    </xf>
    <xf numFmtId="0" fontId="61" fillId="0" borderId="0" xfId="0" applyFont="1" applyAlignment="1">
      <alignment horizontal="left" vertical="center" wrapText="1"/>
    </xf>
  </cellXfs>
  <cellStyles count="8">
    <cellStyle name="Comma" xfId="6" builtinId="3"/>
    <cellStyle name="Comma 2" xfId="7" xr:uid="{05BC6E83-2243-4AF7-8B8C-B5E17D4CDD57}"/>
    <cellStyle name="Currency" xfId="4" builtinId="4"/>
    <cellStyle name="Good" xfId="5" builtinId="26"/>
    <cellStyle name="Input 2" xfId="1" xr:uid="{27AD0738-7084-7A40-A2FB-69354C066F4B}"/>
    <cellStyle name="Normal" xfId="0" builtinId="0"/>
    <cellStyle name="Normal 2" xfId="2" xr:uid="{AC3437F5-E44C-0845-BF19-B86268A65B2E}"/>
    <cellStyle name="Percent" xfId="3" builtinId="5"/>
  </cellStyles>
  <dxfs count="0"/>
  <tableStyles count="0" defaultTableStyle="TableStyleMedium2" defaultPivotStyle="PivotStyleLight16"/>
  <colors>
    <mruColors>
      <color rgb="FFFFFFAB"/>
      <color rgb="FFFFE7F3"/>
      <color rgb="FF9BC2E6"/>
      <color rgb="FFFFD44B"/>
      <color rgb="FFA3FFFF"/>
      <color rgb="FFF6B0F3"/>
      <color rgb="FFD1FFFF"/>
      <color rgb="FFF4B084"/>
      <color rgb="FFFF99CC"/>
      <color rgb="FFFF6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Arial"/>
                <a:ea typeface="Arial"/>
                <a:cs typeface="Arial"/>
              </a:defRPr>
            </a:pPr>
            <a:r>
              <a:rPr lang="en-US"/>
              <a:t>ENVIRONMENTAL IMPACT IN WASTE</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Arial"/>
              <a:ea typeface="Arial"/>
              <a:cs typeface="Arial"/>
            </a:defRPr>
          </a:pPr>
          <a:endParaRPr lang="en-US"/>
        </a:p>
      </c:txPr>
    </c:title>
    <c:autoTitleDeleted val="0"/>
    <c:plotArea>
      <c:layout/>
      <c:lineChart>
        <c:grouping val="standard"/>
        <c:varyColors val="0"/>
        <c:ser>
          <c:idx val="1"/>
          <c:order val="0"/>
          <c:tx>
            <c:v>WITHOUT SCHEME - LANDFILL</c:v>
          </c:tx>
          <c:spPr>
            <a:ln w="57150" cap="rnd">
              <a:solidFill>
                <a:srgbClr val="F4B084"/>
              </a:solidFill>
              <a:prstDash val="solid"/>
              <a:round/>
            </a:ln>
            <a:effectLst/>
          </c:spPr>
          <c:marker>
            <c:symbol val="circle"/>
            <c:size val="5"/>
            <c:spPr>
              <a:solidFill>
                <a:schemeClr val="accent2"/>
              </a:solidFill>
              <a:ln w="9525">
                <a:solidFill>
                  <a:schemeClr val="accent2"/>
                </a:solidFill>
              </a:ln>
              <a:effectLst/>
            </c:spPr>
          </c:marker>
          <c:cat>
            <c:strRef>
              <c:f>Dashboard!$N$39:$R$39</c:f>
              <c:strCache>
                <c:ptCount val="5"/>
                <c:pt idx="0">
                  <c:v>YEAR 1</c:v>
                </c:pt>
                <c:pt idx="1">
                  <c:v>YEAR 2</c:v>
                </c:pt>
                <c:pt idx="2">
                  <c:v>YEAR 3</c:v>
                </c:pt>
                <c:pt idx="3">
                  <c:v>YEAR 4</c:v>
                </c:pt>
                <c:pt idx="4">
                  <c:v>YEAR 5</c:v>
                </c:pt>
              </c:strCache>
            </c:strRef>
          </c:cat>
          <c:val>
            <c:numRef>
              <c:f>Dashboard!$N$40:$R$40</c:f>
              <c:numCache>
                <c:formatCode>#,##0</c:formatCode>
                <c:ptCount val="5"/>
                <c:pt idx="0">
                  <c:v>7486596</c:v>
                </c:pt>
                <c:pt idx="1">
                  <c:v>7803514.080000001</c:v>
                </c:pt>
                <c:pt idx="2">
                  <c:v>8160851.0880000014</c:v>
                </c:pt>
                <c:pt idx="3">
                  <c:v>8468257.4150400013</c:v>
                </c:pt>
                <c:pt idx="4">
                  <c:v>8671277.9793600012</c:v>
                </c:pt>
              </c:numCache>
            </c:numRef>
          </c:val>
          <c:smooth val="0"/>
          <c:extLst>
            <c:ext xmlns:c16="http://schemas.microsoft.com/office/drawing/2014/chart" uri="{C3380CC4-5D6E-409C-BE32-E72D297353CC}">
              <c16:uniqueId val="{00000011-C196-4832-84E4-8D56F73AD6C6}"/>
            </c:ext>
          </c:extLst>
        </c:ser>
        <c:ser>
          <c:idx val="3"/>
          <c:order val="1"/>
          <c:tx>
            <c:v>SCHEME - LANDFILL</c:v>
          </c:tx>
          <c:spPr>
            <a:ln w="38100" cap="rnd">
              <a:solidFill>
                <a:srgbClr val="806000"/>
              </a:solidFill>
              <a:prstDash val="solid"/>
              <a:round/>
            </a:ln>
            <a:effectLst/>
          </c:spPr>
          <c:marker>
            <c:symbol val="circle"/>
            <c:size val="5"/>
            <c:spPr>
              <a:solidFill>
                <a:schemeClr val="accent4"/>
              </a:solidFill>
              <a:ln w="9525">
                <a:solidFill>
                  <a:srgbClr val="FFC000"/>
                </a:solidFill>
                <a:prstDash val="solid"/>
              </a:ln>
              <a:effectLst/>
            </c:spPr>
          </c:marker>
          <c:cat>
            <c:strRef>
              <c:f>Dashboard!$N$39:$R$39</c:f>
              <c:strCache>
                <c:ptCount val="5"/>
                <c:pt idx="0">
                  <c:v>YEAR 1</c:v>
                </c:pt>
                <c:pt idx="1">
                  <c:v>YEAR 2</c:v>
                </c:pt>
                <c:pt idx="2">
                  <c:v>YEAR 3</c:v>
                </c:pt>
                <c:pt idx="3">
                  <c:v>YEAR 4</c:v>
                </c:pt>
                <c:pt idx="4">
                  <c:v>YEAR 5</c:v>
                </c:pt>
              </c:strCache>
            </c:strRef>
          </c:cat>
          <c:val>
            <c:numRef>
              <c:f>Dashboard!$N$42:$R$42</c:f>
              <c:numCache>
                <c:formatCode>#,##0</c:formatCode>
                <c:ptCount val="5"/>
                <c:pt idx="0">
                  <c:v>1970952.1109046787</c:v>
                </c:pt>
                <c:pt idx="1">
                  <c:v>1594454.9657206931</c:v>
                </c:pt>
                <c:pt idx="2">
                  <c:v>1472666.4447720256</c:v>
                </c:pt>
                <c:pt idx="3">
                  <c:v>1458738.2762496949</c:v>
                </c:pt>
                <c:pt idx="4">
                  <c:v>1475766.5901738866</c:v>
                </c:pt>
              </c:numCache>
            </c:numRef>
          </c:val>
          <c:smooth val="0"/>
          <c:extLst>
            <c:ext xmlns:c16="http://schemas.microsoft.com/office/drawing/2014/chart" uri="{C3380CC4-5D6E-409C-BE32-E72D297353CC}">
              <c16:uniqueId val="{00000015-C196-4832-84E4-8D56F73AD6C6}"/>
            </c:ext>
          </c:extLst>
        </c:ser>
        <c:ser>
          <c:idx val="5"/>
          <c:order val="2"/>
          <c:tx>
            <c:v>SCHEME -  RECOVERED</c:v>
          </c:tx>
          <c:spPr>
            <a:ln w="38100" cap="rnd">
              <a:solidFill>
                <a:srgbClr val="00B050"/>
              </a:solidFill>
              <a:prstDash val="solid"/>
              <a:round/>
            </a:ln>
            <a:effectLst/>
          </c:spPr>
          <c:marker>
            <c:symbol val="circle"/>
            <c:size val="5"/>
            <c:spPr>
              <a:solidFill>
                <a:schemeClr val="accent6"/>
              </a:solidFill>
              <a:ln w="9525">
                <a:solidFill>
                  <a:schemeClr val="accent6"/>
                </a:solidFill>
              </a:ln>
              <a:effectLst/>
            </c:spPr>
          </c:marker>
          <c:cat>
            <c:strRef>
              <c:f>Dashboard!$N$39:$R$39</c:f>
              <c:strCache>
                <c:ptCount val="5"/>
                <c:pt idx="0">
                  <c:v>YEAR 1</c:v>
                </c:pt>
                <c:pt idx="1">
                  <c:v>YEAR 2</c:v>
                </c:pt>
                <c:pt idx="2">
                  <c:v>YEAR 3</c:v>
                </c:pt>
                <c:pt idx="3">
                  <c:v>YEAR 4</c:v>
                </c:pt>
                <c:pt idx="4">
                  <c:v>YEAR 5</c:v>
                </c:pt>
              </c:strCache>
            </c:strRef>
          </c:cat>
          <c:val>
            <c:numRef>
              <c:f>Dashboard!$N$44:$R$44</c:f>
              <c:numCache>
                <c:formatCode>#,##0</c:formatCode>
                <c:ptCount val="5"/>
                <c:pt idx="0">
                  <c:v>5515643.8890953213</c:v>
                </c:pt>
                <c:pt idx="1">
                  <c:v>6209059.1142793074</c:v>
                </c:pt>
                <c:pt idx="2">
                  <c:v>6688184.6432279758</c:v>
                </c:pt>
                <c:pt idx="3">
                  <c:v>7009519.1387903057</c:v>
                </c:pt>
                <c:pt idx="4">
                  <c:v>7195511.3891861141</c:v>
                </c:pt>
              </c:numCache>
            </c:numRef>
          </c:val>
          <c:smooth val="0"/>
          <c:extLst>
            <c:ext xmlns:c16="http://schemas.microsoft.com/office/drawing/2014/chart" uri="{C3380CC4-5D6E-409C-BE32-E72D297353CC}">
              <c16:uniqueId val="{00000019-C196-4832-84E4-8D56F73AD6C6}"/>
            </c:ext>
          </c:extLst>
        </c:ser>
        <c:dLbls>
          <c:showLegendKey val="0"/>
          <c:showVal val="0"/>
          <c:showCatName val="0"/>
          <c:showSerName val="0"/>
          <c:showPercent val="0"/>
          <c:showBubbleSize val="0"/>
        </c:dLbls>
        <c:marker val="1"/>
        <c:smooth val="0"/>
        <c:axId val="172039688"/>
        <c:axId val="351331336"/>
      </c:lineChart>
      <c:catAx>
        <c:axId val="172039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a:ea typeface="Arial"/>
                <a:cs typeface="Arial"/>
              </a:defRPr>
            </a:pPr>
            <a:endParaRPr lang="en-US"/>
          </a:p>
        </c:txPr>
        <c:crossAx val="351331336"/>
        <c:crosses val="autoZero"/>
        <c:auto val="1"/>
        <c:lblAlgn val="ctr"/>
        <c:lblOffset val="100"/>
        <c:noMultiLvlLbl val="0"/>
      </c:catAx>
      <c:valAx>
        <c:axId val="351331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Kilograms of Beverage Containers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en-US"/>
          </a:p>
        </c:txPr>
        <c:crossAx val="1720396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a:ea typeface="Arial"/>
              <a:cs typeface="Arial"/>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0" i="0" u="none" strike="noStrike" kern="1200" spc="0" baseline="0">
                <a:solidFill>
                  <a:schemeClr val="tx1">
                    <a:lumMod val="65000"/>
                    <a:lumOff val="35000"/>
                  </a:schemeClr>
                </a:solidFill>
                <a:latin typeface="Arial"/>
                <a:ea typeface="Arial"/>
                <a:cs typeface="Arial"/>
              </a:defRPr>
            </a:pPr>
            <a:r>
              <a:rPr lang="en-US"/>
              <a:t>Kilograms of Containers Recovered in 5 Years</a:t>
            </a:r>
          </a:p>
        </c:rich>
      </c:tx>
      <c:overlay val="0"/>
      <c:spPr>
        <a:noFill/>
        <a:ln w="25400">
          <a:noFill/>
        </a:ln>
        <a:effectLst/>
      </c:spPr>
      <c:txPr>
        <a:bodyPr rot="0" spcFirstLastPara="1" vertOverflow="ellipsis" vert="horz" wrap="square" anchor="ctr" anchorCtr="1"/>
        <a:lstStyle/>
        <a:p>
          <a:pPr>
            <a:defRPr sz="1300" b="0" i="0" u="none" strike="noStrike" kern="1200" spc="0" baseline="0">
              <a:solidFill>
                <a:schemeClr val="tx1">
                  <a:lumMod val="65000"/>
                  <a:lumOff val="35000"/>
                </a:schemeClr>
              </a:solidFill>
              <a:latin typeface="Arial"/>
              <a:ea typeface="Arial"/>
              <a:cs typeface="Arial"/>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FB3-8842-92A4-938E0ED4B1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FB3-8842-92A4-938E0ED4B12D}"/>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FFFF"/>
                    </a:solidFill>
                    <a:latin typeface="Arial"/>
                    <a:ea typeface="Arial"/>
                    <a:cs typeface="Arial"/>
                  </a:defRPr>
                </a:pPr>
                <a:endParaRPr lang="en-US"/>
              </a:p>
            </c:txPr>
            <c:dLblPos val="ctr"/>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'INITIAL DATA'!$AA$51:$AA$52</c:f>
              <c:strCache>
                <c:ptCount val="2"/>
                <c:pt idx="0">
                  <c:v>TOTAL RECOVERED</c:v>
                </c:pt>
                <c:pt idx="1">
                  <c:v>TOTAL NON RECOVERED</c:v>
                </c:pt>
              </c:strCache>
            </c:strRef>
          </c:cat>
          <c:val>
            <c:numRef>
              <c:f>'INITIAL DATA'!$AB$51:$AB$52</c:f>
              <c:numCache>
                <c:formatCode>#,##0</c:formatCode>
                <c:ptCount val="2"/>
                <c:pt idx="0">
                  <c:v>32617918.174579024</c:v>
                </c:pt>
                <c:pt idx="1">
                  <c:v>7972578.3878209777</c:v>
                </c:pt>
              </c:numCache>
            </c:numRef>
          </c:val>
          <c:extLst>
            <c:ext xmlns:c16="http://schemas.microsoft.com/office/drawing/2014/chart" uri="{C3380CC4-5D6E-409C-BE32-E72D297353CC}">
              <c16:uniqueId val="{00000001-5FF6-4F00-B315-9290C4C7CC9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Arial"/>
              <a:ea typeface="Arial"/>
              <a:cs typeface="Arial"/>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a:ea typeface="Arial"/>
                <a:cs typeface="Arial"/>
              </a:defRPr>
            </a:pPr>
            <a:r>
              <a:rPr lang="en-US"/>
              <a:t>ACCUMULATED ENVIRONMENTAL ECONOMIC IMPACT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a:ea typeface="Arial"/>
              <a:cs typeface="Arial"/>
            </a:defRPr>
          </a:pPr>
          <a:endParaRPr lang="en-US"/>
        </a:p>
      </c:txPr>
    </c:title>
    <c:autoTitleDeleted val="0"/>
    <c:plotArea>
      <c:layout/>
      <c:lineChart>
        <c:grouping val="standard"/>
        <c:varyColors val="0"/>
        <c:ser>
          <c:idx val="1"/>
          <c:order val="0"/>
          <c:tx>
            <c:v>Cost Savings in Waste Management</c:v>
          </c:tx>
          <c:spPr>
            <a:ln w="38100" cap="rnd">
              <a:solidFill>
                <a:schemeClr val="accent2"/>
              </a:solidFill>
              <a:round/>
            </a:ln>
            <a:effectLst/>
          </c:spPr>
          <c:marker>
            <c:symbol val="circle"/>
            <c:size val="5"/>
            <c:spPr>
              <a:solidFill>
                <a:schemeClr val="accent2"/>
              </a:solidFill>
              <a:ln w="9525">
                <a:solidFill>
                  <a:schemeClr val="accent2"/>
                </a:solidFill>
              </a:ln>
              <a:effectLst/>
            </c:spPr>
          </c:marker>
          <c:cat>
            <c:strRef>
              <c:f>OUTPUTS!$D$81:$H$81</c:f>
              <c:strCache>
                <c:ptCount val="5"/>
                <c:pt idx="0">
                  <c:v>YEAR 1</c:v>
                </c:pt>
                <c:pt idx="1">
                  <c:v>YEAR 2</c:v>
                </c:pt>
                <c:pt idx="2">
                  <c:v>YEAR 3</c:v>
                </c:pt>
                <c:pt idx="3">
                  <c:v>YEAR 4</c:v>
                </c:pt>
                <c:pt idx="4">
                  <c:v>YEAR 5</c:v>
                </c:pt>
              </c:strCache>
            </c:strRef>
          </c:cat>
          <c:val>
            <c:numRef>
              <c:f>OUTPUTS!$D$82:$H$82</c:f>
              <c:numCache>
                <c:formatCode>_-[$$-409]* #,##0_ ;_-[$$-409]* \-#,##0\ ;_-[$$-409]* "-"??_ ;_-@_ </c:formatCode>
                <c:ptCount val="5"/>
                <c:pt idx="0">
                  <c:v>2316570.4334200351</c:v>
                </c:pt>
                <c:pt idx="1">
                  <c:v>4924375.2614173442</c:v>
                </c:pt>
                <c:pt idx="2">
                  <c:v>7733412.8115730938</c:v>
                </c:pt>
                <c:pt idx="3">
                  <c:v>10677410.849865023</c:v>
                </c:pt>
                <c:pt idx="4">
                  <c:v>13699525.633323191</c:v>
                </c:pt>
              </c:numCache>
            </c:numRef>
          </c:val>
          <c:smooth val="0"/>
          <c:extLst>
            <c:ext xmlns:c16="http://schemas.microsoft.com/office/drawing/2014/chart" uri="{C3380CC4-5D6E-409C-BE32-E72D297353CC}">
              <c16:uniqueId val="{00000006-2474-4361-89C5-62638838F9FC}"/>
            </c:ext>
          </c:extLst>
        </c:ser>
        <c:ser>
          <c:idx val="2"/>
          <c:order val="1"/>
          <c:tx>
            <c:v>Economic Benefits Recycling vs Landfill</c:v>
          </c:tx>
          <c:spPr>
            <a:ln w="38100" cap="rnd">
              <a:solidFill>
                <a:schemeClr val="accent3"/>
              </a:solidFill>
              <a:round/>
            </a:ln>
            <a:effectLst/>
          </c:spPr>
          <c:marker>
            <c:symbol val="circle"/>
            <c:size val="5"/>
            <c:spPr>
              <a:solidFill>
                <a:schemeClr val="accent3"/>
              </a:solidFill>
              <a:ln w="9525">
                <a:solidFill>
                  <a:schemeClr val="accent3"/>
                </a:solidFill>
              </a:ln>
              <a:effectLst/>
            </c:spPr>
          </c:marker>
          <c:cat>
            <c:strRef>
              <c:f>OUTPUTS!$D$81:$H$81</c:f>
              <c:strCache>
                <c:ptCount val="5"/>
                <c:pt idx="0">
                  <c:v>YEAR 1</c:v>
                </c:pt>
                <c:pt idx="1">
                  <c:v>YEAR 2</c:v>
                </c:pt>
                <c:pt idx="2">
                  <c:v>YEAR 3</c:v>
                </c:pt>
                <c:pt idx="3">
                  <c:v>YEAR 4</c:v>
                </c:pt>
                <c:pt idx="4">
                  <c:v>YEAR 5</c:v>
                </c:pt>
              </c:strCache>
            </c:strRef>
          </c:cat>
          <c:val>
            <c:numRef>
              <c:f>OUTPUTS!$D$83:$H$83</c:f>
              <c:numCache>
                <c:formatCode>_-[$$-409]* #,##0_ ;_-[$$-409]* \-#,##0\ ;_-[$$-409]* "-"??_ ;_-@_ </c:formatCode>
                <c:ptCount val="5"/>
                <c:pt idx="0">
                  <c:v>275782.19445476605</c:v>
                </c:pt>
                <c:pt idx="1">
                  <c:v>586235.15016873134</c:v>
                </c:pt>
                <c:pt idx="2">
                  <c:v>920644.38233013009</c:v>
                </c:pt>
                <c:pt idx="3">
                  <c:v>1271120.3392696455</c:v>
                </c:pt>
                <c:pt idx="4">
                  <c:v>1630895.9087289511</c:v>
                </c:pt>
              </c:numCache>
            </c:numRef>
          </c:val>
          <c:smooth val="0"/>
          <c:extLst>
            <c:ext xmlns:c16="http://schemas.microsoft.com/office/drawing/2014/chart" uri="{C3380CC4-5D6E-409C-BE32-E72D297353CC}">
              <c16:uniqueId val="{00000008-2474-4361-89C5-62638838F9FC}"/>
            </c:ext>
          </c:extLst>
        </c:ser>
        <c:ser>
          <c:idx val="3"/>
          <c:order val="2"/>
          <c:tx>
            <c:v>CO2 Footprint Savings</c:v>
          </c:tx>
          <c:spPr>
            <a:ln w="38100" cap="rnd">
              <a:solidFill>
                <a:srgbClr val="A9D08E"/>
              </a:solidFill>
              <a:prstDash val="solid"/>
              <a:round/>
            </a:ln>
            <a:effectLst/>
          </c:spPr>
          <c:marker>
            <c:symbol val="circle"/>
            <c:size val="5"/>
            <c:spPr>
              <a:solidFill>
                <a:srgbClr val="A9D08E"/>
              </a:solidFill>
              <a:ln w="9525">
                <a:solidFill>
                  <a:srgbClr val="A9D08E"/>
                </a:solidFill>
                <a:prstDash val="solid"/>
              </a:ln>
              <a:effectLst/>
            </c:spPr>
          </c:marker>
          <c:cat>
            <c:strRef>
              <c:f>OUTPUTS!$D$81:$H$81</c:f>
              <c:strCache>
                <c:ptCount val="5"/>
                <c:pt idx="0">
                  <c:v>YEAR 1</c:v>
                </c:pt>
                <c:pt idx="1">
                  <c:v>YEAR 2</c:v>
                </c:pt>
                <c:pt idx="2">
                  <c:v>YEAR 3</c:v>
                </c:pt>
                <c:pt idx="3">
                  <c:v>YEAR 4</c:v>
                </c:pt>
                <c:pt idx="4">
                  <c:v>YEAR 5</c:v>
                </c:pt>
              </c:strCache>
            </c:strRef>
          </c:cat>
          <c:val>
            <c:numRef>
              <c:f>OUTPUTS!$D$84:$H$84</c:f>
              <c:numCache>
                <c:formatCode>_-[$$-409]* #,##0_ ;_-[$$-409]* \-#,##0\ ;_-[$$-409]* "-"??_ ;_-@_ </c:formatCode>
                <c:ptCount val="5"/>
                <c:pt idx="0">
                  <c:v>1378910.9722738303</c:v>
                </c:pt>
                <c:pt idx="1">
                  <c:v>2931175.7508436572</c:v>
                </c:pt>
                <c:pt idx="2">
                  <c:v>4603221.9116506511</c:v>
                </c:pt>
                <c:pt idx="3">
                  <c:v>6355601.6963482276</c:v>
                </c:pt>
                <c:pt idx="4">
                  <c:v>8154479.5436447561</c:v>
                </c:pt>
              </c:numCache>
            </c:numRef>
          </c:val>
          <c:smooth val="0"/>
          <c:extLst>
            <c:ext xmlns:c16="http://schemas.microsoft.com/office/drawing/2014/chart" uri="{C3380CC4-5D6E-409C-BE32-E72D297353CC}">
              <c16:uniqueId val="{0000000A-2474-4361-89C5-62638838F9FC}"/>
            </c:ext>
          </c:extLst>
        </c:ser>
        <c:dLbls>
          <c:showLegendKey val="0"/>
          <c:showVal val="0"/>
          <c:showCatName val="0"/>
          <c:showSerName val="0"/>
          <c:showPercent val="0"/>
          <c:showBubbleSize val="0"/>
        </c:dLbls>
        <c:marker val="1"/>
        <c:smooth val="0"/>
        <c:axId val="1828279303"/>
        <c:axId val="1828281351"/>
      </c:lineChart>
      <c:catAx>
        <c:axId val="18282793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a:ea typeface="Arial"/>
                <a:cs typeface="Arial"/>
              </a:defRPr>
            </a:pPr>
            <a:endParaRPr lang="en-US"/>
          </a:p>
        </c:txPr>
        <c:crossAx val="1828281351"/>
        <c:crosses val="autoZero"/>
        <c:auto val="1"/>
        <c:lblAlgn val="ctr"/>
        <c:lblOffset val="100"/>
        <c:noMultiLvlLbl val="0"/>
      </c:catAx>
      <c:valAx>
        <c:axId val="1828281351"/>
        <c:scaling>
          <c:orientation val="minMax"/>
        </c:scaling>
        <c:delete val="0"/>
        <c:axPos val="l"/>
        <c:majorGridlines>
          <c:spPr>
            <a:ln w="9525" cap="flat" cmpd="sng" algn="ctr">
              <a:solidFill>
                <a:schemeClr val="tx1">
                  <a:lumMod val="15000"/>
                  <a:lumOff val="85000"/>
                </a:schemeClr>
              </a:solidFill>
              <a:round/>
            </a:ln>
            <a:effectLst/>
          </c:spPr>
        </c:majorGridlines>
        <c:numFmt formatCode="_-[$$-409]* #,##0_ ;_-[$$-409]* \-#,##0\ ;_-[$$-409]* &quot;-&quot;??_ ;_-@_ "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a:ea typeface="Arial"/>
                <a:cs typeface="Arial"/>
              </a:defRPr>
            </a:pPr>
            <a:endParaRPr lang="en-US"/>
          </a:p>
        </c:txPr>
        <c:crossAx val="1828279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a:ea typeface="Arial"/>
              <a:cs typeface="Arial"/>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png"/><Relationship Id="rId18" Type="http://schemas.openxmlformats.org/officeDocument/2006/relationships/image" Target="../media/image23.png"/><Relationship Id="rId3" Type="http://schemas.openxmlformats.org/officeDocument/2006/relationships/image" Target="../media/image9.png"/><Relationship Id="rId7" Type="http://schemas.openxmlformats.org/officeDocument/2006/relationships/image" Target="../media/image13.png"/><Relationship Id="rId12" Type="http://schemas.openxmlformats.org/officeDocument/2006/relationships/image" Target="../media/image18.png"/><Relationship Id="rId17" Type="http://schemas.openxmlformats.org/officeDocument/2006/relationships/image" Target="../media/image22.png"/><Relationship Id="rId2" Type="http://schemas.openxmlformats.org/officeDocument/2006/relationships/chart" Target="../charts/chart2.xml"/><Relationship Id="rId16" Type="http://schemas.openxmlformats.org/officeDocument/2006/relationships/chart" Target="../charts/chart3.xml"/><Relationship Id="rId20"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image" Target="../media/image12.png"/><Relationship Id="rId11" Type="http://schemas.openxmlformats.org/officeDocument/2006/relationships/image" Target="../media/image17.png"/><Relationship Id="rId5" Type="http://schemas.openxmlformats.org/officeDocument/2006/relationships/image" Target="../media/image11.png"/><Relationship Id="rId15" Type="http://schemas.openxmlformats.org/officeDocument/2006/relationships/image" Target="../media/image21.png"/><Relationship Id="rId10" Type="http://schemas.openxmlformats.org/officeDocument/2006/relationships/image" Target="../media/image16.png"/><Relationship Id="rId19" Type="http://schemas.openxmlformats.org/officeDocument/2006/relationships/image" Target="../media/image24.png"/><Relationship Id="rId4" Type="http://schemas.openxmlformats.org/officeDocument/2006/relationships/image" Target="../media/image10.png"/><Relationship Id="rId9" Type="http://schemas.openxmlformats.org/officeDocument/2006/relationships/image" Target="../media/image15.png"/><Relationship Id="rId14" Type="http://schemas.openxmlformats.org/officeDocument/2006/relationships/image" Target="../media/image20.png"/></Relationships>
</file>

<file path=xl/drawings/_rels/drawing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112059</xdr:colOff>
      <xdr:row>0</xdr:row>
      <xdr:rowOff>145677</xdr:rowOff>
    </xdr:from>
    <xdr:to>
      <xdr:col>3</xdr:col>
      <xdr:colOff>252693</xdr:colOff>
      <xdr:row>3</xdr:row>
      <xdr:rowOff>157443</xdr:rowOff>
    </xdr:to>
    <xdr:pic>
      <xdr:nvPicPr>
        <xdr:cNvPr id="4" name="Picture 3">
          <a:extLst>
            <a:ext uri="{FF2B5EF4-FFF2-40B4-BE49-F238E27FC236}">
              <a16:creationId xmlns:a16="http://schemas.microsoft.com/office/drawing/2014/main" id="{FBD3A7BE-6234-463E-A818-53CE07683B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59" y="145677"/>
          <a:ext cx="3267075" cy="885825"/>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twoCellAnchor editAs="oneCell">
    <xdr:from>
      <xdr:col>1</xdr:col>
      <xdr:colOff>401171</xdr:colOff>
      <xdr:row>30</xdr:row>
      <xdr:rowOff>11205</xdr:rowOff>
    </xdr:from>
    <xdr:to>
      <xdr:col>4</xdr:col>
      <xdr:colOff>551571</xdr:colOff>
      <xdr:row>32</xdr:row>
      <xdr:rowOff>15015</xdr:rowOff>
    </xdr:to>
    <xdr:pic>
      <xdr:nvPicPr>
        <xdr:cNvPr id="3" name="Picture 2">
          <a:extLst>
            <a:ext uri="{FF2B5EF4-FFF2-40B4-BE49-F238E27FC236}">
              <a16:creationId xmlns:a16="http://schemas.microsoft.com/office/drawing/2014/main" id="{88E9213D-C5EA-45A0-AE30-30A5E2957D6D}"/>
            </a:ext>
          </a:extLst>
        </xdr:cNvPr>
        <xdr:cNvPicPr>
          <a:picLocks noChangeAspect="1"/>
        </xdr:cNvPicPr>
      </xdr:nvPicPr>
      <xdr:blipFill rotWithShape="1">
        <a:blip xmlns:r="http://schemas.openxmlformats.org/officeDocument/2006/relationships" r:embed="rId2"/>
        <a:srcRect b="25542"/>
        <a:stretch/>
      </xdr:blipFill>
      <xdr:spPr>
        <a:xfrm>
          <a:off x="1006289" y="9883587"/>
          <a:ext cx="4139694" cy="317574"/>
        </a:xfrm>
        <a:prstGeom prst="rect">
          <a:avLst/>
        </a:prstGeom>
      </xdr:spPr>
    </xdr:pic>
    <xdr:clientData/>
  </xdr:twoCellAnchor>
  <xdr:twoCellAnchor editAs="oneCell">
    <xdr:from>
      <xdr:col>1</xdr:col>
      <xdr:colOff>414617</xdr:colOff>
      <xdr:row>18</xdr:row>
      <xdr:rowOff>67235</xdr:rowOff>
    </xdr:from>
    <xdr:to>
      <xdr:col>2</xdr:col>
      <xdr:colOff>605118</xdr:colOff>
      <xdr:row>20</xdr:row>
      <xdr:rowOff>11206</xdr:rowOff>
    </xdr:to>
    <xdr:pic>
      <xdr:nvPicPr>
        <xdr:cNvPr id="7" name="Picture 6">
          <a:extLst>
            <a:ext uri="{FF2B5EF4-FFF2-40B4-BE49-F238E27FC236}">
              <a16:creationId xmlns:a16="http://schemas.microsoft.com/office/drawing/2014/main" id="{25B0503B-A6C4-8064-AF8A-19F77CDAF621}"/>
            </a:ext>
          </a:extLst>
        </xdr:cNvPr>
        <xdr:cNvPicPr>
          <a:picLocks noChangeAspect="1"/>
        </xdr:cNvPicPr>
      </xdr:nvPicPr>
      <xdr:blipFill rotWithShape="1">
        <a:blip xmlns:r="http://schemas.openxmlformats.org/officeDocument/2006/relationships" r:embed="rId3"/>
        <a:srcRect l="12577" t="13331" r="53653" b="4804"/>
        <a:stretch/>
      </xdr:blipFill>
      <xdr:spPr>
        <a:xfrm>
          <a:off x="1019735" y="8684559"/>
          <a:ext cx="1199030" cy="257736"/>
        </a:xfrm>
        <a:prstGeom prst="rect">
          <a:avLst/>
        </a:prstGeom>
      </xdr:spPr>
    </xdr:pic>
    <xdr:clientData/>
  </xdr:twoCellAnchor>
  <xdr:twoCellAnchor editAs="oneCell">
    <xdr:from>
      <xdr:col>1</xdr:col>
      <xdr:colOff>462933</xdr:colOff>
      <xdr:row>26</xdr:row>
      <xdr:rowOff>37124</xdr:rowOff>
    </xdr:from>
    <xdr:to>
      <xdr:col>2</xdr:col>
      <xdr:colOff>224118</xdr:colOff>
      <xdr:row>27</xdr:row>
      <xdr:rowOff>123721</xdr:rowOff>
    </xdr:to>
    <xdr:pic>
      <xdr:nvPicPr>
        <xdr:cNvPr id="9" name="Picture 8">
          <a:extLst>
            <a:ext uri="{FF2B5EF4-FFF2-40B4-BE49-F238E27FC236}">
              <a16:creationId xmlns:a16="http://schemas.microsoft.com/office/drawing/2014/main" id="{E67711A9-4A30-B537-8FCE-00705C282D98}"/>
            </a:ext>
          </a:extLst>
        </xdr:cNvPr>
        <xdr:cNvPicPr>
          <a:picLocks noChangeAspect="1"/>
        </xdr:cNvPicPr>
      </xdr:nvPicPr>
      <xdr:blipFill>
        <a:blip xmlns:r="http://schemas.openxmlformats.org/officeDocument/2006/relationships" r:embed="rId4"/>
        <a:stretch>
          <a:fillRect/>
        </a:stretch>
      </xdr:blipFill>
      <xdr:spPr>
        <a:xfrm>
          <a:off x="1068051" y="9909506"/>
          <a:ext cx="769714" cy="243480"/>
        </a:xfrm>
        <a:prstGeom prst="rect">
          <a:avLst/>
        </a:prstGeom>
      </xdr:spPr>
    </xdr:pic>
    <xdr:clientData/>
  </xdr:twoCellAnchor>
  <xdr:twoCellAnchor editAs="oneCell">
    <xdr:from>
      <xdr:col>1</xdr:col>
      <xdr:colOff>414617</xdr:colOff>
      <xdr:row>22</xdr:row>
      <xdr:rowOff>112059</xdr:rowOff>
    </xdr:from>
    <xdr:to>
      <xdr:col>2</xdr:col>
      <xdr:colOff>225238</xdr:colOff>
      <xdr:row>24</xdr:row>
      <xdr:rowOff>67235</xdr:rowOff>
    </xdr:to>
    <xdr:pic>
      <xdr:nvPicPr>
        <xdr:cNvPr id="10" name="Picture 9">
          <a:extLst>
            <a:ext uri="{FF2B5EF4-FFF2-40B4-BE49-F238E27FC236}">
              <a16:creationId xmlns:a16="http://schemas.microsoft.com/office/drawing/2014/main" id="{45F6652B-B16E-4B7E-B156-0348E82B6144}"/>
            </a:ext>
          </a:extLst>
        </xdr:cNvPr>
        <xdr:cNvPicPr>
          <a:picLocks noChangeAspect="1"/>
        </xdr:cNvPicPr>
      </xdr:nvPicPr>
      <xdr:blipFill rotWithShape="1">
        <a:blip xmlns:r="http://schemas.openxmlformats.org/officeDocument/2006/relationships" r:embed="rId5"/>
        <a:srcRect l="54995" t="23013" b="1"/>
        <a:stretch/>
      </xdr:blipFill>
      <xdr:spPr>
        <a:xfrm>
          <a:off x="1019735" y="9356912"/>
          <a:ext cx="819150" cy="268941"/>
        </a:xfrm>
        <a:prstGeom prst="rect">
          <a:avLst/>
        </a:prstGeom>
      </xdr:spPr>
    </xdr:pic>
    <xdr:clientData/>
  </xdr:twoCellAnchor>
  <xdr:twoCellAnchor editAs="oneCell">
    <xdr:from>
      <xdr:col>1</xdr:col>
      <xdr:colOff>818029</xdr:colOff>
      <xdr:row>43</xdr:row>
      <xdr:rowOff>11206</xdr:rowOff>
    </xdr:from>
    <xdr:to>
      <xdr:col>5</xdr:col>
      <xdr:colOff>415203</xdr:colOff>
      <xdr:row>57</xdr:row>
      <xdr:rowOff>120829</xdr:rowOff>
    </xdr:to>
    <xdr:pic>
      <xdr:nvPicPr>
        <xdr:cNvPr id="2" name="Picture 1">
          <a:extLst>
            <a:ext uri="{FF2B5EF4-FFF2-40B4-BE49-F238E27FC236}">
              <a16:creationId xmlns:a16="http://schemas.microsoft.com/office/drawing/2014/main" id="{69271754-3506-5308-D569-C00851BABFDE}"/>
            </a:ext>
          </a:extLst>
        </xdr:cNvPr>
        <xdr:cNvPicPr>
          <a:picLocks noChangeAspect="1"/>
        </xdr:cNvPicPr>
      </xdr:nvPicPr>
      <xdr:blipFill>
        <a:blip xmlns:r="http://schemas.openxmlformats.org/officeDocument/2006/relationships" r:embed="rId6"/>
        <a:stretch>
          <a:fillRect/>
        </a:stretch>
      </xdr:blipFill>
      <xdr:spPr>
        <a:xfrm>
          <a:off x="1423147" y="12685059"/>
          <a:ext cx="4191585" cy="2619741"/>
        </a:xfrm>
        <a:prstGeom prst="rect">
          <a:avLst/>
        </a:prstGeom>
      </xdr:spPr>
    </xdr:pic>
    <xdr:clientData/>
  </xdr:twoCellAnchor>
  <xdr:twoCellAnchor editAs="oneCell">
    <xdr:from>
      <xdr:col>0</xdr:col>
      <xdr:colOff>582707</xdr:colOff>
      <xdr:row>70</xdr:row>
      <xdr:rowOff>33617</xdr:rowOff>
    </xdr:from>
    <xdr:to>
      <xdr:col>9</xdr:col>
      <xdr:colOff>355139</xdr:colOff>
      <xdr:row>88</xdr:row>
      <xdr:rowOff>83380</xdr:rowOff>
    </xdr:to>
    <xdr:pic>
      <xdr:nvPicPr>
        <xdr:cNvPr id="5" name="Picture 4">
          <a:extLst>
            <a:ext uri="{FF2B5EF4-FFF2-40B4-BE49-F238E27FC236}">
              <a16:creationId xmlns:a16="http://schemas.microsoft.com/office/drawing/2014/main" id="{443B9439-4D43-EEB2-925C-FD27DC70FC16}"/>
            </a:ext>
          </a:extLst>
        </xdr:cNvPr>
        <xdr:cNvPicPr>
          <a:picLocks noChangeAspect="1"/>
        </xdr:cNvPicPr>
      </xdr:nvPicPr>
      <xdr:blipFill>
        <a:blip xmlns:r="http://schemas.openxmlformats.org/officeDocument/2006/relationships" r:embed="rId7"/>
        <a:stretch>
          <a:fillRect/>
        </a:stretch>
      </xdr:blipFill>
      <xdr:spPr>
        <a:xfrm>
          <a:off x="582707" y="18792264"/>
          <a:ext cx="7392432" cy="3277057"/>
        </a:xfrm>
        <a:prstGeom prst="rect">
          <a:avLst/>
        </a:prstGeom>
      </xdr:spPr>
    </xdr:pic>
    <xdr:clientData/>
  </xdr:twoCellAnchor>
  <xdr:twoCellAnchor editAs="oneCell">
    <xdr:from>
      <xdr:col>1</xdr:col>
      <xdr:colOff>33619</xdr:colOff>
      <xdr:row>89</xdr:row>
      <xdr:rowOff>33618</xdr:rowOff>
    </xdr:from>
    <xdr:to>
      <xdr:col>9</xdr:col>
      <xdr:colOff>257737</xdr:colOff>
      <xdr:row>95</xdr:row>
      <xdr:rowOff>134775</xdr:rowOff>
    </xdr:to>
    <xdr:pic>
      <xdr:nvPicPr>
        <xdr:cNvPr id="6" name="Picture 5">
          <a:extLst>
            <a:ext uri="{FF2B5EF4-FFF2-40B4-BE49-F238E27FC236}">
              <a16:creationId xmlns:a16="http://schemas.microsoft.com/office/drawing/2014/main" id="{45519B41-8532-B7C2-1657-C0195B2F4903}"/>
            </a:ext>
          </a:extLst>
        </xdr:cNvPr>
        <xdr:cNvPicPr>
          <a:picLocks noChangeAspect="1"/>
        </xdr:cNvPicPr>
      </xdr:nvPicPr>
      <xdr:blipFill>
        <a:blip xmlns:r="http://schemas.openxmlformats.org/officeDocument/2006/relationships" r:embed="rId8"/>
        <a:stretch>
          <a:fillRect/>
        </a:stretch>
      </xdr:blipFill>
      <xdr:spPr>
        <a:xfrm>
          <a:off x="638737" y="21829059"/>
          <a:ext cx="7239000" cy="117692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200025</xdr:colOff>
      <xdr:row>21</xdr:row>
      <xdr:rowOff>257175</xdr:rowOff>
    </xdr:from>
    <xdr:to>
      <xdr:col>14</xdr:col>
      <xdr:colOff>714375</xdr:colOff>
      <xdr:row>34</xdr:row>
      <xdr:rowOff>28575</xdr:rowOff>
    </xdr:to>
    <xdr:sp macro="" textlink="">
      <xdr:nvSpPr>
        <xdr:cNvPr id="2" name="TextBox 1">
          <a:extLst>
            <a:ext uri="{FF2B5EF4-FFF2-40B4-BE49-F238E27FC236}">
              <a16:creationId xmlns:a16="http://schemas.microsoft.com/office/drawing/2014/main" id="{3E9B705E-86D4-5CD3-651B-1AB218EC6A73}"/>
            </a:ext>
          </a:extLst>
        </xdr:cNvPr>
        <xdr:cNvSpPr txBox="1"/>
      </xdr:nvSpPr>
      <xdr:spPr>
        <a:xfrm>
          <a:off x="22679025" y="6638925"/>
          <a:ext cx="2686050" cy="448627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800" b="0" i="0" u="none" strike="noStrike">
              <a:solidFill>
                <a:srgbClr val="000000"/>
              </a:solidFill>
              <a:latin typeface="Calibri" panose="020F0502020204030204" pitchFamily="34" charset="0"/>
              <a:cs typeface="Calibri" panose="020F0502020204030204" pitchFamily="34" charset="0"/>
            </a:rPr>
            <a:t>T</a:t>
          </a:r>
          <a:r>
            <a:rPr lang="en-US" sz="1800">
              <a:latin typeface="+mn-lt"/>
              <a:ea typeface="+mn-lt"/>
              <a:cs typeface="+mn-lt"/>
            </a:rPr>
            <a:t>o penalize the system</a:t>
          </a:r>
          <a:r>
            <a:rPr lang="en-US" sz="1800" b="0" i="0" u="none" strike="noStrike">
              <a:solidFill>
                <a:srgbClr val="000000"/>
              </a:solidFill>
              <a:latin typeface="Calibri" panose="020F0502020204030204" pitchFamily="34" charset="0"/>
              <a:cs typeface="Calibri" panose="020F0502020204030204" pitchFamily="34" charset="0"/>
            </a:rPr>
            <a:t>s</a:t>
          </a:r>
          <a:r>
            <a:rPr lang="en-US" sz="1800">
              <a:latin typeface="+mn-lt"/>
              <a:ea typeface="+mn-lt"/>
              <a:cs typeface="+mn-lt"/>
            </a:rPr>
            <a:t> with a low Return Rate, to virtually reduce the income of non reclaimed deposit</a:t>
          </a:r>
          <a:r>
            <a:rPr lang="en-US" sz="1800" b="0" i="0" u="none" strike="noStrike">
              <a:solidFill>
                <a:srgbClr val="000000"/>
              </a:solidFill>
              <a:latin typeface="Calibri" panose="020F0502020204030204" pitchFamily="34" charset="0"/>
              <a:cs typeface="Calibri" panose="020F0502020204030204" pitchFamily="34" charset="0"/>
            </a:rPr>
            <a:t>.</a:t>
          </a:r>
        </a:p>
        <a:p>
          <a:pPr marL="0" marR="0" indent="0" algn="l">
            <a:lnSpc>
              <a:spcPct val="100000"/>
            </a:lnSpc>
            <a:spcBef>
              <a:spcPts val="0"/>
            </a:spcBef>
            <a:spcAft>
              <a:spcPts val="0"/>
            </a:spcAft>
          </a:pPr>
          <a:r>
            <a:rPr lang="en-US" sz="1800" b="0" i="0" u="none" strike="noStrike">
              <a:solidFill>
                <a:srgbClr val="000000"/>
              </a:solidFill>
              <a:latin typeface="Calibri" panose="020F0502020204030204" pitchFamily="34" charset="0"/>
              <a:cs typeface="Calibri" panose="020F0502020204030204" pitchFamily="34" charset="0"/>
            </a:rPr>
            <a:t>VALUE = DEPOSIT FEE + (DEPOSIT FEE *0.5%)</a:t>
          </a:r>
        </a:p>
        <a:p>
          <a:pPr marL="0" indent="0" algn="l"/>
          <a:endParaRPr lang="en-US" sz="1800" b="0" i="0" u="none" strike="noStrike">
            <a:solidFill>
              <a:srgbClr val="000000"/>
            </a:solidFill>
            <a:latin typeface="Calibri" panose="020F0502020204030204" pitchFamily="34" charset="0"/>
            <a:cs typeface="Calibri" panose="020F0502020204030204" pitchFamily="34" charset="0"/>
          </a:endParaRPr>
        </a:p>
        <a:p>
          <a:pPr marL="0" indent="0" algn="l"/>
          <a:r>
            <a:rPr lang="en-US" sz="1800" b="0" i="0" u="none" strike="noStrike">
              <a:solidFill>
                <a:srgbClr val="000000"/>
              </a:solidFill>
              <a:latin typeface="Calibri" panose="020F0502020204030204" pitchFamily="34" charset="0"/>
              <a:cs typeface="Calibri" panose="020F0502020204030204" pitchFamily="34" charset="0"/>
            </a:rPr>
            <a:t>This should represent the money that  would be necessary  to clean and recover the containers not returned (Waste Collection) and it is a way to penalize the systems with low return rate</a:t>
          </a:r>
          <a:endParaRPr lang="en-US" sz="1800" b="0" i="0" u="none" strike="noStrike">
            <a:solidFill>
              <a:srgbClr val="000000"/>
            </a:solidFill>
            <a:latin typeface="+mn-lt"/>
            <a:ea typeface="+mn-lt"/>
            <a:cs typeface="+mn-lt"/>
          </a:endParaRPr>
        </a:p>
        <a:p>
          <a:pPr marL="0" indent="0" algn="l"/>
          <a:endParaRPr lang="en-US" sz="1800" b="0" i="0" u="none" strike="noStrike">
            <a:solidFill>
              <a:srgbClr val="000000"/>
            </a:solidFill>
            <a:latin typeface="+mn-lt"/>
            <a:ea typeface="+mn-lt"/>
            <a:cs typeface="+mn-lt"/>
          </a:endParaRPr>
        </a:p>
        <a:p>
          <a:pPr marL="0" indent="0" algn="l"/>
          <a:endParaRPr lang="en-US" sz="1800" b="0" i="0" u="none" strike="noStrike">
            <a:solidFill>
              <a:srgbClr val="000000"/>
            </a:solidFill>
            <a:latin typeface="+mn-lt"/>
            <a:ea typeface="+mn-lt"/>
            <a:cs typeface="+mn-lt"/>
          </a:endParaRPr>
        </a:p>
        <a:p>
          <a:pPr marL="0" indent="0" algn="l"/>
          <a:endParaRPr lang="en-US" sz="1800" b="0" i="0" u="none" strike="noStrike">
            <a:solidFill>
              <a:srgbClr val="000000"/>
            </a:solidFill>
            <a:latin typeface="+mn-lt"/>
            <a:ea typeface="+mn-lt"/>
            <a:cs typeface="+mn-lt"/>
          </a:endParaRPr>
        </a:p>
        <a:p>
          <a:pPr marL="0" indent="0" algn="l"/>
          <a:endParaRPr lang="en-US" sz="1800">
            <a:latin typeface="+mn-lt"/>
            <a:ea typeface="+mn-lt"/>
            <a:cs typeface="+mn-lt"/>
          </a:endParaRPr>
        </a:p>
      </xdr:txBody>
    </xdr:sp>
    <xdr:clientData/>
  </xdr:twoCellAnchor>
  <xdr:twoCellAnchor>
    <xdr:from>
      <xdr:col>1</xdr:col>
      <xdr:colOff>1924050</xdr:colOff>
      <xdr:row>71</xdr:row>
      <xdr:rowOff>285750</xdr:rowOff>
    </xdr:from>
    <xdr:to>
      <xdr:col>8</xdr:col>
      <xdr:colOff>19050</xdr:colOff>
      <xdr:row>77</xdr:row>
      <xdr:rowOff>19050</xdr:rowOff>
    </xdr:to>
    <xdr:sp macro="" textlink="">
      <xdr:nvSpPr>
        <xdr:cNvPr id="3" name="Rounded Rectangle 42">
          <a:extLst>
            <a:ext uri="{FF2B5EF4-FFF2-40B4-BE49-F238E27FC236}">
              <a16:creationId xmlns:a16="http://schemas.microsoft.com/office/drawing/2014/main" id="{AB9FA64D-FDC0-4764-9B99-7577DE2251C3}"/>
            </a:ext>
            <a:ext uri="{147F2762-F138-4A5C-976F-8EAC2B608ADB}">
              <a16:predDERef xmlns:a16="http://schemas.microsoft.com/office/drawing/2014/main" pred="{C550BB68-5947-472B-968B-3BAD63F74E10}"/>
            </a:ext>
          </a:extLst>
        </xdr:cNvPr>
        <xdr:cNvSpPr/>
      </xdr:nvSpPr>
      <xdr:spPr>
        <a:xfrm>
          <a:off x="14678025" y="16430625"/>
          <a:ext cx="12592050" cy="1800225"/>
        </a:xfrm>
        <a:prstGeom prst="roundRect">
          <a:avLst>
            <a:gd name="adj" fmla="val 2804"/>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GB" sz="1100"/>
        </a:p>
      </xdr:txBody>
    </xdr:sp>
    <xdr:clientData/>
  </xdr:twoCellAnchor>
  <xdr:twoCellAnchor>
    <xdr:from>
      <xdr:col>2</xdr:col>
      <xdr:colOff>19050</xdr:colOff>
      <xdr:row>79</xdr:row>
      <xdr:rowOff>0</xdr:rowOff>
    </xdr:from>
    <xdr:to>
      <xdr:col>8</xdr:col>
      <xdr:colOff>19050</xdr:colOff>
      <xdr:row>84</xdr:row>
      <xdr:rowOff>19050</xdr:rowOff>
    </xdr:to>
    <xdr:sp macro="" textlink="">
      <xdr:nvSpPr>
        <xdr:cNvPr id="6" name="Rounded Rectangle 42">
          <a:extLst>
            <a:ext uri="{FF2B5EF4-FFF2-40B4-BE49-F238E27FC236}">
              <a16:creationId xmlns:a16="http://schemas.microsoft.com/office/drawing/2014/main" id="{2039DEC1-51A1-4FDC-BD93-78EF9255C03E}"/>
            </a:ext>
            <a:ext uri="{147F2762-F138-4A5C-976F-8EAC2B608ADB}">
              <a16:predDERef xmlns:a16="http://schemas.microsoft.com/office/drawing/2014/main" pred="{AB9FA64D-FDC0-4764-9B99-7577DE2251C3}"/>
            </a:ext>
          </a:extLst>
        </xdr:cNvPr>
        <xdr:cNvSpPr/>
      </xdr:nvSpPr>
      <xdr:spPr>
        <a:xfrm>
          <a:off x="1980079" y="17458765"/>
          <a:ext cx="15363265" cy="1397373"/>
        </a:xfrm>
        <a:prstGeom prst="roundRect">
          <a:avLst>
            <a:gd name="adj" fmla="val 2804"/>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GB" sz="1100"/>
        </a:p>
      </xdr:txBody>
    </xdr:sp>
    <xdr:clientData/>
  </xdr:twoCellAnchor>
  <xdr:twoCellAnchor>
    <xdr:from>
      <xdr:col>0</xdr:col>
      <xdr:colOff>190499</xdr:colOff>
      <xdr:row>0</xdr:row>
      <xdr:rowOff>201706</xdr:rowOff>
    </xdr:from>
    <xdr:to>
      <xdr:col>2</xdr:col>
      <xdr:colOff>1496545</xdr:colOff>
      <xdr:row>3</xdr:row>
      <xdr:rowOff>213472</xdr:rowOff>
    </xdr:to>
    <xdr:pic>
      <xdr:nvPicPr>
        <xdr:cNvPr id="4" name="Picture 3">
          <a:extLst>
            <a:ext uri="{FF2B5EF4-FFF2-40B4-BE49-F238E27FC236}">
              <a16:creationId xmlns:a16="http://schemas.microsoft.com/office/drawing/2014/main" id="{8377DE93-F975-405F-8FA1-D762AE5BD4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9" y="201706"/>
          <a:ext cx="3267075" cy="885825"/>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593911</xdr:colOff>
      <xdr:row>0</xdr:row>
      <xdr:rowOff>168088</xdr:rowOff>
    </xdr:from>
    <xdr:to>
      <xdr:col>1</xdr:col>
      <xdr:colOff>3098986</xdr:colOff>
      <xdr:row>3</xdr:row>
      <xdr:rowOff>179854</xdr:rowOff>
    </xdr:to>
    <xdr:pic>
      <xdr:nvPicPr>
        <xdr:cNvPr id="2" name="Picture 1">
          <a:extLst>
            <a:ext uri="{FF2B5EF4-FFF2-40B4-BE49-F238E27FC236}">
              <a16:creationId xmlns:a16="http://schemas.microsoft.com/office/drawing/2014/main" id="{3D16B68F-C934-40A5-AC55-86AD47456A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3911" y="168088"/>
          <a:ext cx="3267075" cy="885825"/>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179295</xdr:colOff>
      <xdr:row>0</xdr:row>
      <xdr:rowOff>212912</xdr:rowOff>
    </xdr:from>
    <xdr:to>
      <xdr:col>2</xdr:col>
      <xdr:colOff>2280958</xdr:colOff>
      <xdr:row>3</xdr:row>
      <xdr:rowOff>224678</xdr:rowOff>
    </xdr:to>
    <xdr:pic>
      <xdr:nvPicPr>
        <xdr:cNvPr id="2" name="Picture 1">
          <a:extLst>
            <a:ext uri="{FF2B5EF4-FFF2-40B4-BE49-F238E27FC236}">
              <a16:creationId xmlns:a16="http://schemas.microsoft.com/office/drawing/2014/main" id="{A4ACB37F-9683-4396-8618-76CEC04989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295" y="212912"/>
          <a:ext cx="3267075" cy="885825"/>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417222</xdr:colOff>
      <xdr:row>18</xdr:row>
      <xdr:rowOff>330</xdr:rowOff>
    </xdr:from>
    <xdr:to>
      <xdr:col>4</xdr:col>
      <xdr:colOff>904686</xdr:colOff>
      <xdr:row>24</xdr:row>
      <xdr:rowOff>180647</xdr:rowOff>
    </xdr:to>
    <xdr:sp macro="" textlink="">
      <xdr:nvSpPr>
        <xdr:cNvPr id="2" name="TextBox 1">
          <a:extLst>
            <a:ext uri="{FF2B5EF4-FFF2-40B4-BE49-F238E27FC236}">
              <a16:creationId xmlns:a16="http://schemas.microsoft.com/office/drawing/2014/main" id="{C8AFE234-3613-B329-550A-5E3FFEC41151}"/>
            </a:ext>
            <a:ext uri="{147F2762-F138-4A5C-976F-8EAC2B608ADB}">
              <a16:predDERef xmlns:a16="http://schemas.microsoft.com/office/drawing/2014/main" pred="{80BC16E4-7D85-7B17-A441-C1A3A1A6EA78}"/>
            </a:ext>
          </a:extLst>
        </xdr:cNvPr>
        <xdr:cNvSpPr txBox="1"/>
      </xdr:nvSpPr>
      <xdr:spPr>
        <a:xfrm>
          <a:off x="417222" y="3941709"/>
          <a:ext cx="4437055" cy="2421977"/>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endParaRPr lang="en-GB"/>
        </a:p>
        <a:p>
          <a:pPr marL="0" marR="0" lvl="0" indent="0" defTabSz="914400" eaLnBrk="1" fontAlgn="auto" latinLnBrk="0" hangingPunct="1">
            <a:lnSpc>
              <a:spcPct val="100000"/>
            </a:lnSpc>
            <a:spcBef>
              <a:spcPts val="0"/>
            </a:spcBef>
            <a:spcAft>
              <a:spcPts val="0"/>
            </a:spcAft>
            <a:buClrTx/>
            <a:buSzTx/>
            <a:buFontTx/>
            <a:buNone/>
            <a:tabLst/>
            <a:defRPr/>
          </a:pPr>
          <a:r>
            <a:rPr lang="en-GB" sz="1100">
              <a:effectLst/>
              <a:latin typeface="+mn-lt"/>
              <a:ea typeface="+mn-ea"/>
              <a:cs typeface="+mn-cs"/>
            </a:rPr>
            <a:t>Describe</a:t>
          </a:r>
          <a:r>
            <a:rPr lang="en-GB" sz="1100" baseline="0">
              <a:effectLst/>
              <a:latin typeface="+mn-lt"/>
              <a:ea typeface="+mn-ea"/>
              <a:cs typeface="+mn-cs"/>
            </a:rPr>
            <a:t> Scenario - for example: </a:t>
          </a:r>
          <a:endParaRPr lang="en-AU">
            <a:effectLst/>
          </a:endParaRPr>
        </a:p>
        <a:p>
          <a:endParaRPr lang="en-GB"/>
        </a:p>
        <a:p>
          <a:r>
            <a:rPr lang="en-GB" i="1"/>
            <a:t>In Scenario 1, </a:t>
          </a:r>
          <a:r>
            <a:rPr lang="en-GB" b="1" i="1"/>
            <a:t>five depots</a:t>
          </a:r>
          <a:r>
            <a:rPr lang="en-GB" i="1"/>
            <a:t> are established across the main islands.</a:t>
          </a:r>
        </a:p>
        <a:p>
          <a:endParaRPr lang="en-GB" i="1"/>
        </a:p>
        <a:p>
          <a:r>
            <a:rPr lang="en-GB" b="1" i="1"/>
            <a:t>Depot Setup</a:t>
          </a:r>
          <a:r>
            <a:rPr lang="en-GB" i="1"/>
            <a:t>:</a:t>
          </a:r>
          <a:r>
            <a:rPr lang="en-GB" i="1" baseline="0"/>
            <a:t> </a:t>
          </a:r>
        </a:p>
        <a:p>
          <a:r>
            <a:rPr lang="en-GB" i="1"/>
            <a:t>5 depots are equipped with </a:t>
          </a:r>
          <a:r>
            <a:rPr lang="en-GB" b="1" i="1"/>
            <a:t>complete sea-container setups</a:t>
          </a:r>
          <a:r>
            <a:rPr lang="en-GB" i="1"/>
            <a:t>, which include the necessary machinery to process various types of beverage containers.</a:t>
          </a:r>
          <a:r>
            <a:rPr lang="en-GB" i="1" baseline="0"/>
            <a:t> </a:t>
          </a:r>
        </a:p>
        <a:p>
          <a:r>
            <a:rPr lang="en-GB" b="1" i="1" baseline="0"/>
            <a:t>2</a:t>
          </a:r>
          <a:r>
            <a:rPr lang="en-GB" b="1" i="1"/>
            <a:t> depots </a:t>
          </a:r>
          <a:r>
            <a:rPr lang="en-GB" i="1"/>
            <a:t>serve only as </a:t>
          </a:r>
          <a:r>
            <a:rPr lang="en-GB" b="1" i="1"/>
            <a:t>redemption centres</a:t>
          </a:r>
          <a:r>
            <a:rPr lang="en-GB" i="1"/>
            <a:t> without processing machinery.</a:t>
          </a:r>
        </a:p>
        <a:p>
          <a:endParaRPr lang="en-GB" i="1"/>
        </a:p>
        <a:p>
          <a:r>
            <a:rPr lang="en-GB" b="1" i="1"/>
            <a:t>Collection Vehicles</a:t>
          </a:r>
          <a:r>
            <a:rPr lang="en-GB" i="1"/>
            <a:t>:</a:t>
          </a:r>
        </a:p>
        <a:p>
          <a:r>
            <a:rPr lang="en-GB" i="1"/>
            <a:t>3 large trucks and 2 small vans/trucks are purchased and used for collection operations.</a:t>
          </a:r>
        </a:p>
      </xdr:txBody>
    </xdr:sp>
    <xdr:clientData/>
  </xdr:twoCellAnchor>
  <xdr:twoCellAnchor>
    <xdr:from>
      <xdr:col>7</xdr:col>
      <xdr:colOff>4080</xdr:colOff>
      <xdr:row>20</xdr:row>
      <xdr:rowOff>225880</xdr:rowOff>
    </xdr:from>
    <xdr:to>
      <xdr:col>11</xdr:col>
      <xdr:colOff>28575</xdr:colOff>
      <xdr:row>25</xdr:row>
      <xdr:rowOff>845755</xdr:rowOff>
    </xdr:to>
    <xdr:sp macro="" textlink="">
      <xdr:nvSpPr>
        <xdr:cNvPr id="18" name="TextBox 17">
          <a:extLst>
            <a:ext uri="{FF2B5EF4-FFF2-40B4-BE49-F238E27FC236}">
              <a16:creationId xmlns:a16="http://schemas.microsoft.com/office/drawing/2014/main" id="{D5C20D5C-40DF-41DD-B598-90E274A7E34F}"/>
            </a:ext>
            <a:ext uri="{147F2762-F138-4A5C-976F-8EAC2B608ADB}">
              <a16:predDERef xmlns:a16="http://schemas.microsoft.com/office/drawing/2014/main" pred="{80BC16E4-7D85-7B17-A441-C1A3A1A6EA78}"/>
            </a:ext>
          </a:extLst>
        </xdr:cNvPr>
        <xdr:cNvSpPr txBox="1"/>
      </xdr:nvSpPr>
      <xdr:spPr>
        <a:xfrm>
          <a:off x="6474511" y="5095126"/>
          <a:ext cx="4901952" cy="218821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a:effectLst/>
              <a:latin typeface="+mn-lt"/>
              <a:ea typeface="+mn-ea"/>
              <a:cs typeface="+mn-cs"/>
            </a:rPr>
            <a:t>Describe</a:t>
          </a:r>
          <a:r>
            <a:rPr lang="en-GB" sz="1100" baseline="0">
              <a:effectLst/>
              <a:latin typeface="+mn-lt"/>
              <a:ea typeface="+mn-ea"/>
              <a:cs typeface="+mn-cs"/>
            </a:rPr>
            <a:t> Scenario - for example: </a:t>
          </a:r>
          <a:endParaRPr lang="en-AU">
            <a:effectLst/>
          </a:endParaRPr>
        </a:p>
        <a:p>
          <a:endParaRPr lang="en-GB" sz="1100">
            <a:effectLst/>
            <a:latin typeface="+mn-lt"/>
            <a:ea typeface="+mn-ea"/>
            <a:cs typeface="+mn-cs"/>
          </a:endParaRPr>
        </a:p>
        <a:p>
          <a:r>
            <a:rPr lang="en-GB" sz="1100" i="1">
              <a:effectLst/>
              <a:latin typeface="+mn-lt"/>
              <a:ea typeface="+mn-ea"/>
              <a:cs typeface="+mn-cs"/>
            </a:rPr>
            <a:t>In Scenario 2, </a:t>
          </a:r>
          <a:r>
            <a:rPr lang="en-GB" sz="1100" b="1" i="1">
              <a:effectLst/>
              <a:latin typeface="+mn-lt"/>
              <a:ea typeface="+mn-ea"/>
              <a:cs typeface="+mn-cs"/>
            </a:rPr>
            <a:t>eight depots</a:t>
          </a:r>
          <a:r>
            <a:rPr lang="en-GB" sz="1100" i="1">
              <a:effectLst/>
              <a:latin typeface="+mn-lt"/>
              <a:ea typeface="+mn-ea"/>
              <a:cs typeface="+mn-cs"/>
            </a:rPr>
            <a:t> are established across the main islands.</a:t>
          </a:r>
        </a:p>
        <a:p>
          <a:endParaRPr lang="en-GB" i="1">
            <a:effectLst/>
          </a:endParaRPr>
        </a:p>
        <a:p>
          <a:r>
            <a:rPr lang="en-GB" sz="1100" b="1" i="1">
              <a:effectLst/>
              <a:latin typeface="+mn-lt"/>
              <a:ea typeface="+mn-ea"/>
              <a:cs typeface="+mn-cs"/>
            </a:rPr>
            <a:t>Depot Setup</a:t>
          </a:r>
          <a:r>
            <a:rPr lang="en-GB" sz="1100" i="1">
              <a:effectLst/>
              <a:latin typeface="+mn-lt"/>
              <a:ea typeface="+mn-ea"/>
              <a:cs typeface="+mn-cs"/>
            </a:rPr>
            <a:t>:</a:t>
          </a:r>
          <a:r>
            <a:rPr lang="en-GB" sz="1100" i="1" baseline="0">
              <a:effectLst/>
              <a:latin typeface="+mn-lt"/>
              <a:ea typeface="+mn-ea"/>
              <a:cs typeface="+mn-cs"/>
            </a:rPr>
            <a:t> </a:t>
          </a:r>
          <a:endParaRPr lang="en-GB" i="1">
            <a:effectLst/>
          </a:endParaRPr>
        </a:p>
        <a:p>
          <a:r>
            <a:rPr lang="en-GB" sz="1100" i="1">
              <a:effectLst/>
              <a:latin typeface="+mn-lt"/>
              <a:ea typeface="+mn-ea"/>
              <a:cs typeface="+mn-cs"/>
            </a:rPr>
            <a:t>3 depots are equipped with </a:t>
          </a:r>
          <a:r>
            <a:rPr lang="en-GB" sz="1100" b="1" i="1">
              <a:effectLst/>
              <a:latin typeface="+mn-lt"/>
              <a:ea typeface="+mn-ea"/>
              <a:cs typeface="+mn-cs"/>
            </a:rPr>
            <a:t>complete sea-container setups</a:t>
          </a:r>
          <a:r>
            <a:rPr lang="en-GB" sz="1100" i="1">
              <a:effectLst/>
              <a:latin typeface="+mn-lt"/>
              <a:ea typeface="+mn-ea"/>
              <a:cs typeface="+mn-cs"/>
            </a:rPr>
            <a:t>, which include the necessary machinery to process various types of beverage containers.</a:t>
          </a:r>
          <a:r>
            <a:rPr lang="en-GB" sz="1100" i="1" baseline="0">
              <a:effectLst/>
              <a:latin typeface="+mn-lt"/>
              <a:ea typeface="+mn-ea"/>
              <a:cs typeface="+mn-cs"/>
            </a:rPr>
            <a:t> </a:t>
          </a:r>
        </a:p>
        <a:p>
          <a:r>
            <a:rPr lang="en-GB" sz="1100" b="1" i="1" baseline="0">
              <a:effectLst/>
              <a:latin typeface="+mn-lt"/>
              <a:ea typeface="+mn-ea"/>
              <a:cs typeface="+mn-cs"/>
            </a:rPr>
            <a:t>5</a:t>
          </a:r>
          <a:r>
            <a:rPr lang="en-GB" sz="1100" b="1" i="1">
              <a:effectLst/>
              <a:latin typeface="+mn-lt"/>
              <a:ea typeface="+mn-ea"/>
              <a:cs typeface="+mn-cs"/>
            </a:rPr>
            <a:t> depots </a:t>
          </a:r>
          <a:r>
            <a:rPr lang="en-GB" sz="1100" i="1">
              <a:effectLst/>
              <a:latin typeface="+mn-lt"/>
              <a:ea typeface="+mn-ea"/>
              <a:cs typeface="+mn-cs"/>
            </a:rPr>
            <a:t>serve only as </a:t>
          </a:r>
          <a:r>
            <a:rPr lang="en-GB" sz="1100" b="1" i="1">
              <a:effectLst/>
              <a:latin typeface="+mn-lt"/>
              <a:ea typeface="+mn-ea"/>
              <a:cs typeface="+mn-cs"/>
            </a:rPr>
            <a:t>redemption centres</a:t>
          </a:r>
          <a:r>
            <a:rPr lang="en-GB" sz="1100" i="1">
              <a:effectLst/>
              <a:latin typeface="+mn-lt"/>
              <a:ea typeface="+mn-ea"/>
              <a:cs typeface="+mn-cs"/>
            </a:rPr>
            <a:t> without processing machinery.</a:t>
          </a:r>
        </a:p>
        <a:p>
          <a:endParaRPr lang="en-GB" i="1">
            <a:effectLst/>
          </a:endParaRPr>
        </a:p>
        <a:p>
          <a:r>
            <a:rPr lang="en-GB" sz="1100" b="1" i="1">
              <a:effectLst/>
              <a:latin typeface="+mn-lt"/>
              <a:ea typeface="+mn-ea"/>
              <a:cs typeface="+mn-cs"/>
            </a:rPr>
            <a:t>Collection Vehicles</a:t>
          </a:r>
          <a:r>
            <a:rPr lang="en-GB" sz="1100" i="1">
              <a:effectLst/>
              <a:latin typeface="+mn-lt"/>
              <a:ea typeface="+mn-ea"/>
              <a:cs typeface="+mn-cs"/>
            </a:rPr>
            <a:t>:</a:t>
          </a:r>
          <a:endParaRPr lang="en-GB" i="1">
            <a:effectLst/>
          </a:endParaRPr>
        </a:p>
        <a:p>
          <a:r>
            <a:rPr lang="en-GB" sz="1100" i="1">
              <a:effectLst/>
              <a:latin typeface="+mn-lt"/>
              <a:ea typeface="+mn-ea"/>
              <a:cs typeface="+mn-cs"/>
            </a:rPr>
            <a:t>3 large trucks and 5 small vans/trucks are purchased and used for collection operations.</a:t>
          </a:r>
          <a:endParaRPr lang="en-GB" i="1">
            <a:effectLst/>
          </a:endParaRPr>
        </a:p>
      </xdr:txBody>
    </xdr:sp>
    <xdr:clientData/>
  </xdr:twoCellAnchor>
  <xdr:twoCellAnchor>
    <xdr:from>
      <xdr:col>13</xdr:col>
      <xdr:colOff>2720</xdr:colOff>
      <xdr:row>24</xdr:row>
      <xdr:rowOff>29935</xdr:rowOff>
    </xdr:from>
    <xdr:to>
      <xdr:col>17</xdr:col>
      <xdr:colOff>47625</xdr:colOff>
      <xdr:row>27</xdr:row>
      <xdr:rowOff>468038</xdr:rowOff>
    </xdr:to>
    <xdr:sp macro="" textlink="">
      <xdr:nvSpPr>
        <xdr:cNvPr id="19" name="TextBox 18">
          <a:extLst>
            <a:ext uri="{FF2B5EF4-FFF2-40B4-BE49-F238E27FC236}">
              <a16:creationId xmlns:a16="http://schemas.microsoft.com/office/drawing/2014/main" id="{C0DDC1C1-339D-4C12-9BDA-C4C9B2B181A7}"/>
            </a:ext>
            <a:ext uri="{147F2762-F138-4A5C-976F-8EAC2B608ADB}">
              <a16:predDERef xmlns:a16="http://schemas.microsoft.com/office/drawing/2014/main" pred="{80BC16E4-7D85-7B17-A441-C1A3A1A6EA78}"/>
            </a:ext>
          </a:extLst>
        </xdr:cNvPr>
        <xdr:cNvSpPr txBox="1"/>
      </xdr:nvSpPr>
      <xdr:spPr>
        <a:xfrm>
          <a:off x="12606923" y="6270452"/>
          <a:ext cx="4864883" cy="231847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a:effectLst/>
              <a:latin typeface="+mn-lt"/>
              <a:ea typeface="+mn-ea"/>
              <a:cs typeface="+mn-cs"/>
            </a:rPr>
            <a:t>Describe</a:t>
          </a:r>
          <a:r>
            <a:rPr lang="en-GB" sz="1100" baseline="0">
              <a:effectLst/>
              <a:latin typeface="+mn-lt"/>
              <a:ea typeface="+mn-ea"/>
              <a:cs typeface="+mn-cs"/>
            </a:rPr>
            <a:t> Scenario - for example: </a:t>
          </a:r>
          <a:endParaRPr lang="en-AU">
            <a:effectLst/>
          </a:endParaRPr>
        </a:p>
        <a:p>
          <a:endParaRPr lang="en-GB" sz="1100">
            <a:effectLst/>
            <a:latin typeface="+mn-lt"/>
            <a:ea typeface="+mn-ea"/>
            <a:cs typeface="+mn-cs"/>
          </a:endParaRPr>
        </a:p>
        <a:p>
          <a:r>
            <a:rPr lang="en-GB" sz="1100" i="1">
              <a:effectLst/>
              <a:latin typeface="+mn-lt"/>
              <a:ea typeface="+mn-ea"/>
              <a:cs typeface="+mn-cs"/>
            </a:rPr>
            <a:t>In Scenario 3, </a:t>
          </a:r>
          <a:r>
            <a:rPr lang="en-GB" sz="1100" b="1" i="1">
              <a:effectLst/>
              <a:latin typeface="+mn-lt"/>
              <a:ea typeface="+mn-ea"/>
              <a:cs typeface="+mn-cs"/>
            </a:rPr>
            <a:t>eleven </a:t>
          </a:r>
          <a:r>
            <a:rPr lang="en-GB" sz="1100" b="1" i="1" baseline="0">
              <a:effectLst/>
              <a:latin typeface="+mn-lt"/>
              <a:ea typeface="+mn-ea"/>
              <a:cs typeface="+mn-cs"/>
            </a:rPr>
            <a:t>d</a:t>
          </a:r>
          <a:r>
            <a:rPr lang="en-GB" sz="1100" b="1" i="1">
              <a:effectLst/>
              <a:latin typeface="+mn-lt"/>
              <a:ea typeface="+mn-ea"/>
              <a:cs typeface="+mn-cs"/>
            </a:rPr>
            <a:t>epots</a:t>
          </a:r>
          <a:r>
            <a:rPr lang="en-GB" sz="1100" i="1">
              <a:effectLst/>
              <a:latin typeface="+mn-lt"/>
              <a:ea typeface="+mn-ea"/>
              <a:cs typeface="+mn-cs"/>
            </a:rPr>
            <a:t> are established across the main islands.</a:t>
          </a:r>
        </a:p>
        <a:p>
          <a:endParaRPr lang="en-GB" i="1">
            <a:effectLst/>
          </a:endParaRPr>
        </a:p>
        <a:p>
          <a:r>
            <a:rPr lang="en-GB" sz="1100" b="1" i="1">
              <a:effectLst/>
              <a:latin typeface="+mn-lt"/>
              <a:ea typeface="+mn-ea"/>
              <a:cs typeface="+mn-cs"/>
            </a:rPr>
            <a:t>Depot Setup</a:t>
          </a:r>
          <a:r>
            <a:rPr lang="en-GB" sz="1100" i="1">
              <a:effectLst/>
              <a:latin typeface="+mn-lt"/>
              <a:ea typeface="+mn-ea"/>
              <a:cs typeface="+mn-cs"/>
            </a:rPr>
            <a:t>:</a:t>
          </a:r>
          <a:r>
            <a:rPr lang="en-GB" sz="1100" i="1" baseline="0">
              <a:effectLst/>
              <a:latin typeface="+mn-lt"/>
              <a:ea typeface="+mn-ea"/>
              <a:cs typeface="+mn-cs"/>
            </a:rPr>
            <a:t> </a:t>
          </a:r>
          <a:endParaRPr lang="en-GB" i="1">
            <a:effectLst/>
          </a:endParaRPr>
        </a:p>
        <a:p>
          <a:r>
            <a:rPr lang="en-GB" sz="1100" i="1" baseline="0">
              <a:effectLst/>
              <a:latin typeface="+mn-lt"/>
              <a:ea typeface="+mn-ea"/>
              <a:cs typeface="+mn-cs"/>
            </a:rPr>
            <a:t>3 </a:t>
          </a:r>
          <a:r>
            <a:rPr lang="en-GB" sz="1100" i="1">
              <a:effectLst/>
              <a:latin typeface="+mn-lt"/>
              <a:ea typeface="+mn-ea"/>
              <a:cs typeface="+mn-cs"/>
            </a:rPr>
            <a:t>depots are equipped with </a:t>
          </a:r>
          <a:r>
            <a:rPr lang="en-GB" sz="1100" b="1" i="1">
              <a:effectLst/>
              <a:latin typeface="+mn-lt"/>
              <a:ea typeface="+mn-ea"/>
              <a:cs typeface="+mn-cs"/>
            </a:rPr>
            <a:t>complete sea-container setups</a:t>
          </a:r>
          <a:r>
            <a:rPr lang="en-GB" sz="1100" i="1">
              <a:effectLst/>
              <a:latin typeface="+mn-lt"/>
              <a:ea typeface="+mn-ea"/>
              <a:cs typeface="+mn-cs"/>
            </a:rPr>
            <a:t>, which include the necessary machinery to process various types of beverage containers.</a:t>
          </a:r>
          <a:r>
            <a:rPr lang="en-GB" sz="1100" i="1" baseline="0">
              <a:effectLst/>
              <a:latin typeface="+mn-lt"/>
              <a:ea typeface="+mn-ea"/>
              <a:cs typeface="+mn-cs"/>
            </a:rPr>
            <a:t> </a:t>
          </a:r>
          <a:endParaRPr lang="en-GB" i="1">
            <a:effectLst/>
          </a:endParaRPr>
        </a:p>
        <a:p>
          <a:r>
            <a:rPr lang="en-GB" sz="1100" b="1" i="1" baseline="0">
              <a:effectLst/>
              <a:latin typeface="+mn-lt"/>
              <a:ea typeface="+mn-ea"/>
              <a:cs typeface="+mn-cs"/>
            </a:rPr>
            <a:t>8</a:t>
          </a:r>
          <a:r>
            <a:rPr lang="en-GB" sz="1100" b="1" i="1">
              <a:effectLst/>
              <a:latin typeface="+mn-lt"/>
              <a:ea typeface="+mn-ea"/>
              <a:cs typeface="+mn-cs"/>
            </a:rPr>
            <a:t> depots </a:t>
          </a:r>
          <a:r>
            <a:rPr lang="en-GB" sz="1100" i="1">
              <a:effectLst/>
              <a:latin typeface="+mn-lt"/>
              <a:ea typeface="+mn-ea"/>
              <a:cs typeface="+mn-cs"/>
            </a:rPr>
            <a:t>serve only as </a:t>
          </a:r>
          <a:r>
            <a:rPr lang="en-GB" sz="1100" b="1" i="1">
              <a:effectLst/>
              <a:latin typeface="+mn-lt"/>
              <a:ea typeface="+mn-ea"/>
              <a:cs typeface="+mn-cs"/>
            </a:rPr>
            <a:t>redemption centres</a:t>
          </a:r>
          <a:r>
            <a:rPr lang="en-GB" sz="1100" i="1">
              <a:effectLst/>
              <a:latin typeface="+mn-lt"/>
              <a:ea typeface="+mn-ea"/>
              <a:cs typeface="+mn-cs"/>
            </a:rPr>
            <a:t> without processing machinery.</a:t>
          </a:r>
        </a:p>
        <a:p>
          <a:endParaRPr lang="en-GB" i="1">
            <a:effectLst/>
          </a:endParaRPr>
        </a:p>
        <a:p>
          <a:r>
            <a:rPr lang="en-GB" sz="1100" b="1" i="1">
              <a:effectLst/>
              <a:latin typeface="+mn-lt"/>
              <a:ea typeface="+mn-ea"/>
              <a:cs typeface="+mn-cs"/>
            </a:rPr>
            <a:t>Collection Vehicles</a:t>
          </a:r>
          <a:r>
            <a:rPr lang="en-GB" sz="1100" i="1">
              <a:effectLst/>
              <a:latin typeface="+mn-lt"/>
              <a:ea typeface="+mn-ea"/>
              <a:cs typeface="+mn-cs"/>
            </a:rPr>
            <a:t>:</a:t>
          </a:r>
          <a:endParaRPr lang="en-GB" i="1">
            <a:effectLst/>
          </a:endParaRPr>
        </a:p>
        <a:p>
          <a:r>
            <a:rPr lang="en-GB" sz="1100" i="1">
              <a:effectLst/>
              <a:latin typeface="+mn-lt"/>
              <a:ea typeface="+mn-ea"/>
              <a:cs typeface="+mn-cs"/>
            </a:rPr>
            <a:t>3 large trucks and 8 small vans/trucks are purchased and used for collection operations.</a:t>
          </a:r>
          <a:endParaRPr lang="en-GB" i="1">
            <a:effectLst/>
          </a:endParaRPr>
        </a:p>
      </xdr:txBody>
    </xdr:sp>
    <xdr:clientData/>
  </xdr:twoCellAnchor>
  <xdr:twoCellAnchor>
    <xdr:from>
      <xdr:col>0</xdr:col>
      <xdr:colOff>145677</xdr:colOff>
      <xdr:row>0</xdr:row>
      <xdr:rowOff>134470</xdr:rowOff>
    </xdr:from>
    <xdr:to>
      <xdr:col>3</xdr:col>
      <xdr:colOff>252693</xdr:colOff>
      <xdr:row>3</xdr:row>
      <xdr:rowOff>146236</xdr:rowOff>
    </xdr:to>
    <xdr:pic>
      <xdr:nvPicPr>
        <xdr:cNvPr id="4" name="Picture 3">
          <a:extLst>
            <a:ext uri="{FF2B5EF4-FFF2-40B4-BE49-F238E27FC236}">
              <a16:creationId xmlns:a16="http://schemas.microsoft.com/office/drawing/2014/main" id="{FC5016AF-D449-4FA3-99C0-09DD9C469D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677" y="134470"/>
          <a:ext cx="3267075" cy="885825"/>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145677</xdr:colOff>
      <xdr:row>0</xdr:row>
      <xdr:rowOff>134470</xdr:rowOff>
    </xdr:from>
    <xdr:to>
      <xdr:col>3</xdr:col>
      <xdr:colOff>252693</xdr:colOff>
      <xdr:row>3</xdr:row>
      <xdr:rowOff>146236</xdr:rowOff>
    </xdr:to>
    <xdr:pic>
      <xdr:nvPicPr>
        <xdr:cNvPr id="2" name="Picture 1">
          <a:extLst>
            <a:ext uri="{FF2B5EF4-FFF2-40B4-BE49-F238E27FC236}">
              <a16:creationId xmlns:a16="http://schemas.microsoft.com/office/drawing/2014/main" id="{3E3ABC24-FE54-498C-9483-75C917B34F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677" y="134470"/>
          <a:ext cx="3269316" cy="869016"/>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285750</xdr:colOff>
      <xdr:row>7</xdr:row>
      <xdr:rowOff>247649</xdr:rowOff>
    </xdr:from>
    <xdr:to>
      <xdr:col>10</xdr:col>
      <xdr:colOff>9525</xdr:colOff>
      <xdr:row>27</xdr:row>
      <xdr:rowOff>0</xdr:rowOff>
    </xdr:to>
    <xdr:sp macro="" textlink="">
      <xdr:nvSpPr>
        <xdr:cNvPr id="2" name="Rectangle: Rounded Corners 3">
          <a:extLst>
            <a:ext uri="{FF2B5EF4-FFF2-40B4-BE49-F238E27FC236}">
              <a16:creationId xmlns:a16="http://schemas.microsoft.com/office/drawing/2014/main" id="{D173EC2F-3C13-7B48-91A7-500B12708556}"/>
            </a:ext>
            <a:ext uri="{147F2762-F138-4A5C-976F-8EAC2B608ADB}">
              <a16:predDERef xmlns:a16="http://schemas.microsoft.com/office/drawing/2014/main" pred="{5E7D17AA-8FF0-4BBD-B369-8AAB9BC5586D}"/>
            </a:ext>
          </a:extLst>
        </xdr:cNvPr>
        <xdr:cNvSpPr/>
      </xdr:nvSpPr>
      <xdr:spPr>
        <a:xfrm>
          <a:off x="285750" y="3295649"/>
          <a:ext cx="13699548" cy="6714260"/>
        </a:xfrm>
        <a:prstGeom prst="roundRect">
          <a:avLst>
            <a:gd name="adj" fmla="val 2804"/>
          </a:avLst>
        </a:prstGeom>
        <a:noFill/>
        <a:ln w="571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28575</xdr:colOff>
      <xdr:row>27</xdr:row>
      <xdr:rowOff>238125</xdr:rowOff>
    </xdr:from>
    <xdr:to>
      <xdr:col>10</xdr:col>
      <xdr:colOff>9525</xdr:colOff>
      <xdr:row>51</xdr:row>
      <xdr:rowOff>19050</xdr:rowOff>
    </xdr:to>
    <xdr:sp macro="" textlink="">
      <xdr:nvSpPr>
        <xdr:cNvPr id="4" name="Rounded Rectangle 3">
          <a:extLst>
            <a:ext uri="{FF2B5EF4-FFF2-40B4-BE49-F238E27FC236}">
              <a16:creationId xmlns:a16="http://schemas.microsoft.com/office/drawing/2014/main" id="{9603F87E-9F1C-4800-9EDA-73C801CC79FC}"/>
            </a:ext>
            <a:ext uri="{147F2762-F138-4A5C-976F-8EAC2B608ADB}">
              <a16:predDERef xmlns:a16="http://schemas.microsoft.com/office/drawing/2014/main" pred="{D173EC2F-3C13-7B48-91A7-500B12708556}"/>
            </a:ext>
          </a:extLst>
        </xdr:cNvPr>
        <xdr:cNvSpPr/>
      </xdr:nvSpPr>
      <xdr:spPr>
        <a:xfrm>
          <a:off x="314325" y="8848725"/>
          <a:ext cx="15220950" cy="6334125"/>
        </a:xfrm>
        <a:prstGeom prst="roundRect">
          <a:avLst>
            <a:gd name="adj" fmla="val 2804"/>
          </a:avLst>
        </a:prstGeom>
        <a:noFill/>
        <a:ln w="5715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GB" sz="1100"/>
        </a:p>
      </xdr:txBody>
    </xdr:sp>
    <xdr:clientData/>
  </xdr:twoCellAnchor>
  <xdr:twoCellAnchor>
    <xdr:from>
      <xdr:col>0</xdr:col>
      <xdr:colOff>47625</xdr:colOff>
      <xdr:row>5</xdr:row>
      <xdr:rowOff>47625</xdr:rowOff>
    </xdr:from>
    <xdr:to>
      <xdr:col>19</xdr:col>
      <xdr:colOff>228600</xdr:colOff>
      <xdr:row>95</xdr:row>
      <xdr:rowOff>323850</xdr:rowOff>
    </xdr:to>
    <xdr:sp macro="" textlink="">
      <xdr:nvSpPr>
        <xdr:cNvPr id="3" name="Rounded Rectangle 2">
          <a:extLst>
            <a:ext uri="{FF2B5EF4-FFF2-40B4-BE49-F238E27FC236}">
              <a16:creationId xmlns:a16="http://schemas.microsoft.com/office/drawing/2014/main" id="{2B0EA7F6-37BB-46CA-8BB7-C3EB71DCEFFE}"/>
            </a:ext>
            <a:ext uri="{147F2762-F138-4A5C-976F-8EAC2B608ADB}">
              <a16:predDERef xmlns:a16="http://schemas.microsoft.com/office/drawing/2014/main" pred="{9603F87E-9F1C-4800-9EDA-73C801CC79FC}"/>
            </a:ext>
          </a:extLst>
        </xdr:cNvPr>
        <xdr:cNvSpPr/>
      </xdr:nvSpPr>
      <xdr:spPr>
        <a:xfrm>
          <a:off x="47625" y="47625"/>
          <a:ext cx="27146250" cy="23945850"/>
        </a:xfrm>
        <a:prstGeom prst="roundRect">
          <a:avLst>
            <a:gd name="adj" fmla="val 2804"/>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GB" sz="1100"/>
        </a:p>
      </xdr:txBody>
    </xdr:sp>
    <xdr:clientData/>
  </xdr:twoCellAnchor>
  <xdr:twoCellAnchor>
    <xdr:from>
      <xdr:col>10</xdr:col>
      <xdr:colOff>295275</xdr:colOff>
      <xdr:row>7</xdr:row>
      <xdr:rowOff>238125</xdr:rowOff>
    </xdr:from>
    <xdr:to>
      <xdr:col>18</xdr:col>
      <xdr:colOff>428625</xdr:colOff>
      <xdr:row>95</xdr:row>
      <xdr:rowOff>38100</xdr:rowOff>
    </xdr:to>
    <xdr:sp macro="" textlink="">
      <xdr:nvSpPr>
        <xdr:cNvPr id="6" name="Rounded Rectangle 5">
          <a:extLst>
            <a:ext uri="{FF2B5EF4-FFF2-40B4-BE49-F238E27FC236}">
              <a16:creationId xmlns:a16="http://schemas.microsoft.com/office/drawing/2014/main" id="{437DFB5D-C1DD-4E36-A3C2-1D2A9F0CAF61}"/>
            </a:ext>
            <a:ext uri="{147F2762-F138-4A5C-976F-8EAC2B608ADB}">
              <a16:predDERef xmlns:a16="http://schemas.microsoft.com/office/drawing/2014/main" pred="{2B0EA7F6-37BB-46CA-8BB7-C3EB71DCEFFE}"/>
            </a:ext>
          </a:extLst>
        </xdr:cNvPr>
        <xdr:cNvSpPr/>
      </xdr:nvSpPr>
      <xdr:spPr>
        <a:xfrm>
          <a:off x="12734925" y="1809750"/>
          <a:ext cx="14211300" cy="21897975"/>
        </a:xfrm>
        <a:prstGeom prst="roundRect">
          <a:avLst>
            <a:gd name="adj" fmla="val 2804"/>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GB" sz="1100"/>
        </a:p>
      </xdr:txBody>
    </xdr:sp>
    <xdr:clientData/>
  </xdr:twoCellAnchor>
  <xdr:twoCellAnchor>
    <xdr:from>
      <xdr:col>12</xdr:col>
      <xdr:colOff>4552950</xdr:colOff>
      <xdr:row>46</xdr:row>
      <xdr:rowOff>238125</xdr:rowOff>
    </xdr:from>
    <xdr:to>
      <xdr:col>17</xdr:col>
      <xdr:colOff>1171575</xdr:colOff>
      <xdr:row>62</xdr:row>
      <xdr:rowOff>161925</xdr:rowOff>
    </xdr:to>
    <xdr:graphicFrame macro="">
      <xdr:nvGraphicFramePr>
        <xdr:cNvPr id="31" name="Chart 9">
          <a:extLst>
            <a:ext uri="{FF2B5EF4-FFF2-40B4-BE49-F238E27FC236}">
              <a16:creationId xmlns:a16="http://schemas.microsoft.com/office/drawing/2014/main" id="{3F5F0E4A-B09B-E6AC-2584-451B471F4534}"/>
            </a:ext>
            <a:ext uri="{147F2762-F138-4A5C-976F-8EAC2B608ADB}">
              <a16:predDERef xmlns:a16="http://schemas.microsoft.com/office/drawing/2014/main" pred="{437DFB5D-C1DD-4E36-A3C2-1D2A9F0CAF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1485900</xdr:colOff>
      <xdr:row>47</xdr:row>
      <xdr:rowOff>38100</xdr:rowOff>
    </xdr:from>
    <xdr:to>
      <xdr:col>12</xdr:col>
      <xdr:colOff>3867150</xdr:colOff>
      <xdr:row>61</xdr:row>
      <xdr:rowOff>295275</xdr:rowOff>
    </xdr:to>
    <xdr:graphicFrame macro="">
      <xdr:nvGraphicFramePr>
        <xdr:cNvPr id="5" name="Chart 4">
          <a:extLst>
            <a:ext uri="{FF2B5EF4-FFF2-40B4-BE49-F238E27FC236}">
              <a16:creationId xmlns:a16="http://schemas.microsoft.com/office/drawing/2014/main" id="{79B095F7-A7EA-2D83-CF6C-C25F94F7607A}"/>
            </a:ext>
            <a:ext uri="{147F2762-F138-4A5C-976F-8EAC2B608ADB}">
              <a16:predDERef xmlns:a16="http://schemas.microsoft.com/office/drawing/2014/main" pred="{3F5F0E4A-B09B-E6AC-2584-451B471F45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212725</xdr:colOff>
      <xdr:row>10</xdr:row>
      <xdr:rowOff>801568</xdr:rowOff>
    </xdr:from>
    <xdr:to>
      <xdr:col>5</xdr:col>
      <xdr:colOff>1108075</xdr:colOff>
      <xdr:row>12</xdr:row>
      <xdr:rowOff>107870</xdr:rowOff>
    </xdr:to>
    <xdr:sp macro="" textlink="">
      <xdr:nvSpPr>
        <xdr:cNvPr id="82" name="Rounded Rectangle 21">
          <a:extLst>
            <a:ext uri="{FF2B5EF4-FFF2-40B4-BE49-F238E27FC236}">
              <a16:creationId xmlns:a16="http://schemas.microsoft.com/office/drawing/2014/main" id="{D7C3DE7D-C3E3-4565-BECB-8168257E65E8}"/>
            </a:ext>
            <a:ext uri="{147F2762-F138-4A5C-976F-8EAC2B608ADB}">
              <a16:predDERef xmlns:a16="http://schemas.microsoft.com/office/drawing/2014/main" pred="{4137DE93-D901-4C52-B387-30CE722585AB}"/>
            </a:ext>
          </a:extLst>
        </xdr:cNvPr>
        <xdr:cNvSpPr/>
      </xdr:nvSpPr>
      <xdr:spPr>
        <a:xfrm>
          <a:off x="7556500" y="3068518"/>
          <a:ext cx="895350" cy="820777"/>
        </a:xfrm>
        <a:prstGeom prst="roundRect">
          <a:avLst/>
        </a:prstGeom>
        <a:solidFill>
          <a:schemeClr val="bg1"/>
        </a:solidFill>
        <a:ln w="28575">
          <a:solidFill>
            <a:schemeClr val="accent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endParaRPr lang="en-US" sz="1200">
            <a:solidFill>
              <a:schemeClr val="lt1"/>
            </a:solidFill>
            <a:latin typeface="+mn-lt"/>
            <a:ea typeface="+mn-lt"/>
            <a:cs typeface="+mn-lt"/>
          </a:endParaRPr>
        </a:p>
      </xdr:txBody>
    </xdr:sp>
    <xdr:clientData/>
  </xdr:twoCellAnchor>
  <xdr:twoCellAnchor>
    <xdr:from>
      <xdr:col>5</xdr:col>
      <xdr:colOff>243416</xdr:colOff>
      <xdr:row>12</xdr:row>
      <xdr:rowOff>255611</xdr:rowOff>
    </xdr:from>
    <xdr:to>
      <xdr:col>5</xdr:col>
      <xdr:colOff>1110191</xdr:colOff>
      <xdr:row>14</xdr:row>
      <xdr:rowOff>100541</xdr:rowOff>
    </xdr:to>
    <xdr:sp macro="" textlink="">
      <xdr:nvSpPr>
        <xdr:cNvPr id="80" name="Rounded Rectangle 22">
          <a:extLst>
            <a:ext uri="{FF2B5EF4-FFF2-40B4-BE49-F238E27FC236}">
              <a16:creationId xmlns:a16="http://schemas.microsoft.com/office/drawing/2014/main" id="{F8D65DAB-F736-4382-B4AE-535DD4A48856}"/>
            </a:ext>
            <a:ext uri="{147F2762-F138-4A5C-976F-8EAC2B608ADB}">
              <a16:predDERef xmlns:a16="http://schemas.microsoft.com/office/drawing/2014/main" pred="{D7C3DE7D-C3E3-4565-BECB-8168257E65E8}"/>
            </a:ext>
          </a:extLst>
        </xdr:cNvPr>
        <xdr:cNvSpPr/>
      </xdr:nvSpPr>
      <xdr:spPr>
        <a:xfrm>
          <a:off x="8811683" y="4048678"/>
          <a:ext cx="866775" cy="810130"/>
        </a:xfrm>
        <a:prstGeom prst="roundRect">
          <a:avLst/>
        </a:prstGeom>
        <a:solidFill>
          <a:schemeClr val="bg1"/>
        </a:solidFill>
        <a:ln w="28575">
          <a:solidFill>
            <a:schemeClr val="accent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en-US" sz="1200">
              <a:solidFill>
                <a:schemeClr val="lt1"/>
              </a:solidFill>
              <a:latin typeface="+mn-lt"/>
              <a:ea typeface="+mn-lt"/>
              <a:cs typeface="+mn-lt"/>
            </a:rPr>
            <a:t> </a:t>
          </a:r>
        </a:p>
      </xdr:txBody>
    </xdr:sp>
    <xdr:clientData/>
  </xdr:twoCellAnchor>
  <xdr:twoCellAnchor>
    <xdr:from>
      <xdr:col>1</xdr:col>
      <xdr:colOff>607267</xdr:colOff>
      <xdr:row>17</xdr:row>
      <xdr:rowOff>246598</xdr:rowOff>
    </xdr:from>
    <xdr:to>
      <xdr:col>1</xdr:col>
      <xdr:colOff>1474042</xdr:colOff>
      <xdr:row>20</xdr:row>
      <xdr:rowOff>94262</xdr:rowOff>
    </xdr:to>
    <xdr:sp macro="" textlink="">
      <xdr:nvSpPr>
        <xdr:cNvPr id="7" name="Rounded Rectangle 23">
          <a:extLst>
            <a:ext uri="{FF2B5EF4-FFF2-40B4-BE49-F238E27FC236}">
              <a16:creationId xmlns:a16="http://schemas.microsoft.com/office/drawing/2014/main" id="{B647FBA5-08F7-4B8A-9EEE-88E696E1560D}"/>
            </a:ext>
            <a:ext uri="{147F2762-F138-4A5C-976F-8EAC2B608ADB}">
              <a16:predDERef xmlns:a16="http://schemas.microsoft.com/office/drawing/2014/main" pred="{F8D65DAB-F736-4382-B4AE-535DD4A48856}"/>
            </a:ext>
          </a:extLst>
        </xdr:cNvPr>
        <xdr:cNvSpPr/>
      </xdr:nvSpPr>
      <xdr:spPr>
        <a:xfrm>
          <a:off x="893017" y="6018748"/>
          <a:ext cx="866775" cy="685864"/>
        </a:xfrm>
        <a:prstGeom prst="roundRect">
          <a:avLst/>
        </a:prstGeom>
        <a:solidFill>
          <a:schemeClr val="bg1"/>
        </a:solidFill>
        <a:ln w="28575">
          <a:solidFill>
            <a:schemeClr val="accent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endParaRPr lang="en-US" sz="1200">
            <a:solidFill>
              <a:schemeClr val="lt1"/>
            </a:solidFill>
            <a:latin typeface="+mn-lt"/>
            <a:ea typeface="+mn-lt"/>
            <a:cs typeface="+mn-lt"/>
          </a:endParaRPr>
        </a:p>
      </xdr:txBody>
    </xdr:sp>
    <xdr:clientData/>
  </xdr:twoCellAnchor>
  <xdr:twoCellAnchor>
    <xdr:from>
      <xdr:col>1</xdr:col>
      <xdr:colOff>542925</xdr:colOff>
      <xdr:row>14</xdr:row>
      <xdr:rowOff>314325</xdr:rowOff>
    </xdr:from>
    <xdr:to>
      <xdr:col>1</xdr:col>
      <xdr:colOff>1381125</xdr:colOff>
      <xdr:row>17</xdr:row>
      <xdr:rowOff>85725</xdr:rowOff>
    </xdr:to>
    <xdr:sp macro="" textlink="">
      <xdr:nvSpPr>
        <xdr:cNvPr id="25" name="Rounded Rectangle 24">
          <a:extLst>
            <a:ext uri="{FF2B5EF4-FFF2-40B4-BE49-F238E27FC236}">
              <a16:creationId xmlns:a16="http://schemas.microsoft.com/office/drawing/2014/main" id="{EF085329-6CE9-4FA2-9B8A-F2C645A56EE3}"/>
            </a:ext>
            <a:ext uri="{147F2762-F138-4A5C-976F-8EAC2B608ADB}">
              <a16:predDERef xmlns:a16="http://schemas.microsoft.com/office/drawing/2014/main" pred="{B647FBA5-08F7-4B8A-9EEE-88E696E1560D}"/>
            </a:ext>
          </a:extLst>
        </xdr:cNvPr>
        <xdr:cNvSpPr/>
      </xdr:nvSpPr>
      <xdr:spPr>
        <a:xfrm>
          <a:off x="828675" y="5095875"/>
          <a:ext cx="838200" cy="762000"/>
        </a:xfrm>
        <a:prstGeom prst="roundRect">
          <a:avLst/>
        </a:prstGeom>
        <a:solidFill>
          <a:schemeClr val="bg1"/>
        </a:solidFill>
        <a:ln w="28575">
          <a:solidFill>
            <a:schemeClr val="accent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endParaRPr lang="en-US" sz="1200">
            <a:solidFill>
              <a:schemeClr val="lt1"/>
            </a:solidFill>
            <a:latin typeface="+mn-lt"/>
            <a:ea typeface="+mn-lt"/>
            <a:cs typeface="+mn-lt"/>
          </a:endParaRPr>
        </a:p>
      </xdr:txBody>
    </xdr:sp>
    <xdr:clientData/>
  </xdr:twoCellAnchor>
  <xdr:twoCellAnchor editAs="oneCell">
    <xdr:from>
      <xdr:col>5</xdr:col>
      <xdr:colOff>392196</xdr:colOff>
      <xdr:row>11</xdr:row>
      <xdr:rowOff>40296</xdr:rowOff>
    </xdr:from>
    <xdr:to>
      <xdr:col>5</xdr:col>
      <xdr:colOff>955269</xdr:colOff>
      <xdr:row>11</xdr:row>
      <xdr:rowOff>601221</xdr:rowOff>
    </xdr:to>
    <xdr:pic>
      <xdr:nvPicPr>
        <xdr:cNvPr id="83" name="Picture 19">
          <a:extLst>
            <a:ext uri="{FF2B5EF4-FFF2-40B4-BE49-F238E27FC236}">
              <a16:creationId xmlns:a16="http://schemas.microsoft.com/office/drawing/2014/main" id="{E3A80CDD-F92D-CD24-4B38-8CDE3901CA46}"/>
            </a:ext>
            <a:ext uri="{147F2762-F138-4A5C-976F-8EAC2B608ADB}">
              <a16:predDERef xmlns:a16="http://schemas.microsoft.com/office/drawing/2014/main" pred="{EF085329-6CE9-4FA2-9B8A-F2C645A56EE3}"/>
            </a:ext>
          </a:extLst>
        </xdr:cNvPr>
        <xdr:cNvPicPr>
          <a:picLocks noChangeAspect="1"/>
        </xdr:cNvPicPr>
      </xdr:nvPicPr>
      <xdr:blipFill>
        <a:blip xmlns:r="http://schemas.openxmlformats.org/officeDocument/2006/relationships" r:embed="rId3"/>
        <a:stretch>
          <a:fillRect/>
        </a:stretch>
      </xdr:blipFill>
      <xdr:spPr>
        <a:xfrm>
          <a:off x="7735971" y="3193071"/>
          <a:ext cx="563073" cy="560925"/>
        </a:xfrm>
        <a:prstGeom prst="rect">
          <a:avLst/>
        </a:prstGeom>
      </xdr:spPr>
    </xdr:pic>
    <xdr:clientData/>
  </xdr:twoCellAnchor>
  <xdr:twoCellAnchor editAs="oneCell">
    <xdr:from>
      <xdr:col>5</xdr:col>
      <xdr:colOff>426997</xdr:colOff>
      <xdr:row>12</xdr:row>
      <xdr:rowOff>395443</xdr:rowOff>
    </xdr:from>
    <xdr:to>
      <xdr:col>5</xdr:col>
      <xdr:colOff>981955</xdr:colOff>
      <xdr:row>13</xdr:row>
      <xdr:rowOff>499277</xdr:rowOff>
    </xdr:to>
    <xdr:pic>
      <xdr:nvPicPr>
        <xdr:cNvPr id="81" name="Picture 25">
          <a:extLst>
            <a:ext uri="{FF2B5EF4-FFF2-40B4-BE49-F238E27FC236}">
              <a16:creationId xmlns:a16="http://schemas.microsoft.com/office/drawing/2014/main" id="{16FD139A-BF27-538A-9E24-64D7ED2BE7BF}"/>
            </a:ext>
            <a:ext uri="{147F2762-F138-4A5C-976F-8EAC2B608ADB}">
              <a16:predDERef xmlns:a16="http://schemas.microsoft.com/office/drawing/2014/main" pred="{E3A80CDD-F92D-CD24-4B38-8CDE3901CA46}"/>
            </a:ext>
          </a:extLst>
        </xdr:cNvPr>
        <xdr:cNvPicPr>
          <a:picLocks noChangeAspect="1"/>
        </xdr:cNvPicPr>
      </xdr:nvPicPr>
      <xdr:blipFill>
        <a:blip xmlns:r="http://schemas.openxmlformats.org/officeDocument/2006/relationships" r:embed="rId4"/>
        <a:stretch>
          <a:fillRect/>
        </a:stretch>
      </xdr:blipFill>
      <xdr:spPr>
        <a:xfrm>
          <a:off x="7770772" y="4176868"/>
          <a:ext cx="554958" cy="532459"/>
        </a:xfrm>
        <a:prstGeom prst="rect">
          <a:avLst/>
        </a:prstGeom>
      </xdr:spPr>
    </xdr:pic>
    <xdr:clientData/>
  </xdr:twoCellAnchor>
  <xdr:twoCellAnchor editAs="oneCell">
    <xdr:from>
      <xdr:col>1</xdr:col>
      <xdr:colOff>647700</xdr:colOff>
      <xdr:row>14</xdr:row>
      <xdr:rowOff>314325</xdr:rowOff>
    </xdr:from>
    <xdr:to>
      <xdr:col>1</xdr:col>
      <xdr:colOff>1285875</xdr:colOff>
      <xdr:row>16</xdr:row>
      <xdr:rowOff>295275</xdr:rowOff>
    </xdr:to>
    <xdr:pic>
      <xdr:nvPicPr>
        <xdr:cNvPr id="13" name="Picture 12">
          <a:extLst>
            <a:ext uri="{FF2B5EF4-FFF2-40B4-BE49-F238E27FC236}">
              <a16:creationId xmlns:a16="http://schemas.microsoft.com/office/drawing/2014/main" id="{C22390F3-CF56-65D3-DD7C-DC3660564431}"/>
            </a:ext>
            <a:ext uri="{147F2762-F138-4A5C-976F-8EAC2B608ADB}">
              <a16:predDERef xmlns:a16="http://schemas.microsoft.com/office/drawing/2014/main" pred="{16FD139A-BF27-538A-9E24-64D7ED2BE7BF}"/>
            </a:ext>
          </a:extLst>
        </xdr:cNvPr>
        <xdr:cNvPicPr>
          <a:picLocks noChangeAspect="1"/>
        </xdr:cNvPicPr>
      </xdr:nvPicPr>
      <xdr:blipFill>
        <a:blip xmlns:r="http://schemas.openxmlformats.org/officeDocument/2006/relationships" r:embed="rId5"/>
        <a:stretch>
          <a:fillRect/>
        </a:stretch>
      </xdr:blipFill>
      <xdr:spPr>
        <a:xfrm>
          <a:off x="933450" y="5095875"/>
          <a:ext cx="638175" cy="666750"/>
        </a:xfrm>
        <a:prstGeom prst="rect">
          <a:avLst/>
        </a:prstGeom>
      </xdr:spPr>
    </xdr:pic>
    <xdr:clientData/>
  </xdr:twoCellAnchor>
  <xdr:twoCellAnchor editAs="oneCell">
    <xdr:from>
      <xdr:col>1</xdr:col>
      <xdr:colOff>790575</xdr:colOff>
      <xdr:row>18</xdr:row>
      <xdr:rowOff>66675</xdr:rowOff>
    </xdr:from>
    <xdr:to>
      <xdr:col>1</xdr:col>
      <xdr:colOff>1257300</xdr:colOff>
      <xdr:row>20</xdr:row>
      <xdr:rowOff>9525</xdr:rowOff>
    </xdr:to>
    <xdr:pic>
      <xdr:nvPicPr>
        <xdr:cNvPr id="17" name="Picture 28">
          <a:extLst>
            <a:ext uri="{FF2B5EF4-FFF2-40B4-BE49-F238E27FC236}">
              <a16:creationId xmlns:a16="http://schemas.microsoft.com/office/drawing/2014/main" id="{BE79A0E4-4D08-2633-F647-B8819070AE0F}"/>
            </a:ext>
            <a:ext uri="{147F2762-F138-4A5C-976F-8EAC2B608ADB}">
              <a16:predDERef xmlns:a16="http://schemas.microsoft.com/office/drawing/2014/main" pred="{89EF85C2-EE5F-50B0-822B-A599703A4BBC}"/>
            </a:ext>
          </a:extLst>
        </xdr:cNvPr>
        <xdr:cNvPicPr>
          <a:picLocks noChangeAspect="1"/>
        </xdr:cNvPicPr>
      </xdr:nvPicPr>
      <xdr:blipFill>
        <a:blip xmlns:r="http://schemas.openxmlformats.org/officeDocument/2006/relationships" r:embed="rId6"/>
        <a:stretch>
          <a:fillRect/>
        </a:stretch>
      </xdr:blipFill>
      <xdr:spPr>
        <a:xfrm>
          <a:off x="1076325" y="6143625"/>
          <a:ext cx="466725" cy="476250"/>
        </a:xfrm>
        <a:prstGeom prst="rect">
          <a:avLst/>
        </a:prstGeom>
      </xdr:spPr>
    </xdr:pic>
    <xdr:clientData/>
  </xdr:twoCellAnchor>
  <xdr:twoCellAnchor>
    <xdr:from>
      <xdr:col>1</xdr:col>
      <xdr:colOff>152400</xdr:colOff>
      <xdr:row>31</xdr:row>
      <xdr:rowOff>161925</xdr:rowOff>
    </xdr:from>
    <xdr:to>
      <xdr:col>1</xdr:col>
      <xdr:colOff>1514475</xdr:colOff>
      <xdr:row>37</xdr:row>
      <xdr:rowOff>66675</xdr:rowOff>
    </xdr:to>
    <xdr:sp macro="" textlink="">
      <xdr:nvSpPr>
        <xdr:cNvPr id="32" name="Rounded Rectangle 31">
          <a:extLst>
            <a:ext uri="{FF2B5EF4-FFF2-40B4-BE49-F238E27FC236}">
              <a16:creationId xmlns:a16="http://schemas.microsoft.com/office/drawing/2014/main" id="{BF1F0F4B-3597-484B-B273-0F8A29E80060}"/>
            </a:ext>
            <a:ext uri="{147F2762-F138-4A5C-976F-8EAC2B608ADB}">
              <a16:predDERef xmlns:a16="http://schemas.microsoft.com/office/drawing/2014/main" pred="{676B3FED-5793-4499-9BB1-DB4FBC8CB76F}"/>
            </a:ext>
          </a:extLst>
        </xdr:cNvPr>
        <xdr:cNvSpPr/>
      </xdr:nvSpPr>
      <xdr:spPr>
        <a:xfrm>
          <a:off x="438150" y="9934575"/>
          <a:ext cx="1362075" cy="1447800"/>
        </a:xfrm>
        <a:prstGeom prst="roundRect">
          <a:avLst/>
        </a:prstGeom>
        <a:solidFill>
          <a:schemeClr val="bg1"/>
        </a:solidFill>
        <a:ln w="38100">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1</xdr:col>
      <xdr:colOff>171450</xdr:colOff>
      <xdr:row>43</xdr:row>
      <xdr:rowOff>57150</xdr:rowOff>
    </xdr:from>
    <xdr:to>
      <xdr:col>1</xdr:col>
      <xdr:colOff>1533525</xdr:colOff>
      <xdr:row>49</xdr:row>
      <xdr:rowOff>238125</xdr:rowOff>
    </xdr:to>
    <xdr:sp macro="" textlink="">
      <xdr:nvSpPr>
        <xdr:cNvPr id="33" name="Rounded Rectangle 32">
          <a:extLst>
            <a:ext uri="{FF2B5EF4-FFF2-40B4-BE49-F238E27FC236}">
              <a16:creationId xmlns:a16="http://schemas.microsoft.com/office/drawing/2014/main" id="{91B459BD-27C1-4089-AC8F-8DBC4A06A264}"/>
            </a:ext>
            <a:ext uri="{147F2762-F138-4A5C-976F-8EAC2B608ADB}">
              <a16:predDERef xmlns:a16="http://schemas.microsoft.com/office/drawing/2014/main" pred="{BF1F0F4B-3597-484B-B273-0F8A29E80060}"/>
            </a:ext>
          </a:extLst>
        </xdr:cNvPr>
        <xdr:cNvSpPr/>
      </xdr:nvSpPr>
      <xdr:spPr>
        <a:xfrm>
          <a:off x="457200" y="12820650"/>
          <a:ext cx="1362075" cy="1724025"/>
        </a:xfrm>
        <a:prstGeom prst="roundRect">
          <a:avLst/>
        </a:prstGeom>
        <a:solidFill>
          <a:schemeClr val="bg1"/>
        </a:solidFill>
        <a:ln w="38100">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1</xdr:col>
      <xdr:colOff>138793</xdr:colOff>
      <xdr:row>38</xdr:row>
      <xdr:rowOff>121103</xdr:rowOff>
    </xdr:from>
    <xdr:to>
      <xdr:col>1</xdr:col>
      <xdr:colOff>1500868</xdr:colOff>
      <xdr:row>41</xdr:row>
      <xdr:rowOff>217714</xdr:rowOff>
    </xdr:to>
    <xdr:sp macro="" textlink="">
      <xdr:nvSpPr>
        <xdr:cNvPr id="35" name="Rounded Rectangle 34">
          <a:extLst>
            <a:ext uri="{FF2B5EF4-FFF2-40B4-BE49-F238E27FC236}">
              <a16:creationId xmlns:a16="http://schemas.microsoft.com/office/drawing/2014/main" id="{74E1734E-6F52-49D7-B159-FE01BC2AF05F}"/>
            </a:ext>
            <a:ext uri="{147F2762-F138-4A5C-976F-8EAC2B608ADB}">
              <a16:predDERef xmlns:a16="http://schemas.microsoft.com/office/drawing/2014/main" pred="{88B648E7-859F-41DF-80B3-3A7F9E870DA7}"/>
            </a:ext>
          </a:extLst>
        </xdr:cNvPr>
        <xdr:cNvSpPr/>
      </xdr:nvSpPr>
      <xdr:spPr>
        <a:xfrm>
          <a:off x="424543" y="13265603"/>
          <a:ext cx="1362075" cy="872218"/>
        </a:xfrm>
        <a:prstGeom prst="roundRect">
          <a:avLst/>
        </a:prstGeom>
        <a:solidFill>
          <a:schemeClr val="bg1"/>
        </a:solidFill>
        <a:ln w="38100">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editAs="oneCell">
    <xdr:from>
      <xdr:col>1</xdr:col>
      <xdr:colOff>438150</xdr:colOff>
      <xdr:row>32</xdr:row>
      <xdr:rowOff>142875</xdr:rowOff>
    </xdr:from>
    <xdr:to>
      <xdr:col>1</xdr:col>
      <xdr:colOff>1400175</xdr:colOff>
      <xdr:row>35</xdr:row>
      <xdr:rowOff>93518</xdr:rowOff>
    </xdr:to>
    <xdr:pic>
      <xdr:nvPicPr>
        <xdr:cNvPr id="36" name="Picture 35">
          <a:extLst>
            <a:ext uri="{FF2B5EF4-FFF2-40B4-BE49-F238E27FC236}">
              <a16:creationId xmlns:a16="http://schemas.microsoft.com/office/drawing/2014/main" id="{A7828E5A-F952-B836-9835-624EFAC782B0}"/>
            </a:ext>
            <a:ext uri="{147F2762-F138-4A5C-976F-8EAC2B608ADB}">
              <a16:predDERef xmlns:a16="http://schemas.microsoft.com/office/drawing/2014/main" pred="{74E1734E-6F52-49D7-B159-FE01BC2AF05F}"/>
            </a:ext>
          </a:extLst>
        </xdr:cNvPr>
        <xdr:cNvPicPr>
          <a:picLocks noChangeAspect="1"/>
        </xdr:cNvPicPr>
      </xdr:nvPicPr>
      <xdr:blipFill>
        <a:blip xmlns:r="http://schemas.openxmlformats.org/officeDocument/2006/relationships" r:embed="rId7"/>
        <a:stretch>
          <a:fillRect/>
        </a:stretch>
      </xdr:blipFill>
      <xdr:spPr>
        <a:xfrm>
          <a:off x="723900" y="10172700"/>
          <a:ext cx="962025" cy="962025"/>
        </a:xfrm>
        <a:prstGeom prst="rect">
          <a:avLst/>
        </a:prstGeom>
      </xdr:spPr>
    </xdr:pic>
    <xdr:clientData/>
  </xdr:twoCellAnchor>
  <xdr:twoCellAnchor editAs="oneCell">
    <xdr:from>
      <xdr:col>1</xdr:col>
      <xdr:colOff>567418</xdr:colOff>
      <xdr:row>38</xdr:row>
      <xdr:rowOff>236764</xdr:rowOff>
    </xdr:from>
    <xdr:to>
      <xdr:col>1</xdr:col>
      <xdr:colOff>1177018</xdr:colOff>
      <xdr:row>41</xdr:row>
      <xdr:rowOff>73480</xdr:rowOff>
    </xdr:to>
    <xdr:pic>
      <xdr:nvPicPr>
        <xdr:cNvPr id="37" name="Picture 36">
          <a:extLst>
            <a:ext uri="{FF2B5EF4-FFF2-40B4-BE49-F238E27FC236}">
              <a16:creationId xmlns:a16="http://schemas.microsoft.com/office/drawing/2014/main" id="{E6EAA6BB-0C3F-0A3E-AB15-DD71CEE4F03A}"/>
            </a:ext>
            <a:ext uri="{147F2762-F138-4A5C-976F-8EAC2B608ADB}">
              <a16:predDERef xmlns:a16="http://schemas.microsoft.com/office/drawing/2014/main" pred="{A7828E5A-F952-B836-9835-624EFAC782B0}"/>
            </a:ext>
          </a:extLst>
        </xdr:cNvPr>
        <xdr:cNvPicPr>
          <a:picLocks noChangeAspect="1"/>
        </xdr:cNvPicPr>
      </xdr:nvPicPr>
      <xdr:blipFill>
        <a:blip xmlns:r="http://schemas.openxmlformats.org/officeDocument/2006/relationships" r:embed="rId8"/>
        <a:stretch>
          <a:fillRect/>
        </a:stretch>
      </xdr:blipFill>
      <xdr:spPr>
        <a:xfrm>
          <a:off x="853168" y="13381264"/>
          <a:ext cx="609600" cy="612323"/>
        </a:xfrm>
        <a:prstGeom prst="rect">
          <a:avLst/>
        </a:prstGeom>
      </xdr:spPr>
    </xdr:pic>
    <xdr:clientData/>
  </xdr:twoCellAnchor>
  <xdr:twoCellAnchor editAs="oneCell">
    <xdr:from>
      <xdr:col>1</xdr:col>
      <xdr:colOff>476250</xdr:colOff>
      <xdr:row>43</xdr:row>
      <xdr:rowOff>152400</xdr:rowOff>
    </xdr:from>
    <xdr:to>
      <xdr:col>1</xdr:col>
      <xdr:colOff>1181100</xdr:colOff>
      <xdr:row>46</xdr:row>
      <xdr:rowOff>85724</xdr:rowOff>
    </xdr:to>
    <xdr:pic>
      <xdr:nvPicPr>
        <xdr:cNvPr id="38" name="Picture 37">
          <a:extLst>
            <a:ext uri="{FF2B5EF4-FFF2-40B4-BE49-F238E27FC236}">
              <a16:creationId xmlns:a16="http://schemas.microsoft.com/office/drawing/2014/main" id="{E4AB70AB-E09A-0231-FEAC-53086130E864}"/>
            </a:ext>
            <a:ext uri="{147F2762-F138-4A5C-976F-8EAC2B608ADB}">
              <a16:predDERef xmlns:a16="http://schemas.microsoft.com/office/drawing/2014/main" pred="{E6EAA6BB-0C3F-0A3E-AB15-DD71CEE4F03A}"/>
            </a:ext>
          </a:extLst>
        </xdr:cNvPr>
        <xdr:cNvPicPr>
          <a:picLocks noChangeAspect="1"/>
        </xdr:cNvPicPr>
      </xdr:nvPicPr>
      <xdr:blipFill>
        <a:blip xmlns:r="http://schemas.openxmlformats.org/officeDocument/2006/relationships" r:embed="rId9"/>
        <a:stretch>
          <a:fillRect/>
        </a:stretch>
      </xdr:blipFill>
      <xdr:spPr>
        <a:xfrm>
          <a:off x="762000" y="12915900"/>
          <a:ext cx="704850" cy="704849"/>
        </a:xfrm>
        <a:prstGeom prst="rect">
          <a:avLst/>
        </a:prstGeom>
      </xdr:spPr>
    </xdr:pic>
    <xdr:clientData/>
  </xdr:twoCellAnchor>
  <xdr:twoCellAnchor editAs="oneCell">
    <xdr:from>
      <xdr:col>1</xdr:col>
      <xdr:colOff>485775</xdr:colOff>
      <xdr:row>46</xdr:row>
      <xdr:rowOff>200025</xdr:rowOff>
    </xdr:from>
    <xdr:to>
      <xdr:col>1</xdr:col>
      <xdr:colOff>1162050</xdr:colOff>
      <xdr:row>48</xdr:row>
      <xdr:rowOff>127187</xdr:rowOff>
    </xdr:to>
    <xdr:pic>
      <xdr:nvPicPr>
        <xdr:cNvPr id="39" name="Picture 38">
          <a:extLst>
            <a:ext uri="{FF2B5EF4-FFF2-40B4-BE49-F238E27FC236}">
              <a16:creationId xmlns:a16="http://schemas.microsoft.com/office/drawing/2014/main" id="{A028CBB5-5AAD-8AEB-8937-9CEFCACACC12}"/>
            </a:ext>
            <a:ext uri="{147F2762-F138-4A5C-976F-8EAC2B608ADB}">
              <a16:predDERef xmlns:a16="http://schemas.microsoft.com/office/drawing/2014/main" pred="{E4AB70AB-E09A-0231-FEAC-53086130E864}"/>
            </a:ext>
          </a:extLst>
        </xdr:cNvPr>
        <xdr:cNvPicPr>
          <a:picLocks noChangeAspect="1"/>
        </xdr:cNvPicPr>
      </xdr:nvPicPr>
      <xdr:blipFill>
        <a:blip xmlns:r="http://schemas.openxmlformats.org/officeDocument/2006/relationships" r:embed="rId10"/>
        <a:stretch>
          <a:fillRect/>
        </a:stretch>
      </xdr:blipFill>
      <xdr:spPr>
        <a:xfrm>
          <a:off x="771525" y="13735050"/>
          <a:ext cx="676275" cy="676275"/>
        </a:xfrm>
        <a:prstGeom prst="rect">
          <a:avLst/>
        </a:prstGeom>
      </xdr:spPr>
    </xdr:pic>
    <xdr:clientData/>
  </xdr:twoCellAnchor>
  <xdr:twoCellAnchor>
    <xdr:from>
      <xdr:col>12</xdr:col>
      <xdr:colOff>0</xdr:colOff>
      <xdr:row>12</xdr:row>
      <xdr:rowOff>0</xdr:rowOff>
    </xdr:from>
    <xdr:to>
      <xdr:col>18</xdr:col>
      <xdr:colOff>0</xdr:colOff>
      <xdr:row>15</xdr:row>
      <xdr:rowOff>19050</xdr:rowOff>
    </xdr:to>
    <xdr:sp macro="" textlink="">
      <xdr:nvSpPr>
        <xdr:cNvPr id="41" name="Rounded Rectangle 40">
          <a:extLst>
            <a:ext uri="{FF2B5EF4-FFF2-40B4-BE49-F238E27FC236}">
              <a16:creationId xmlns:a16="http://schemas.microsoft.com/office/drawing/2014/main" id="{EB3AD165-AF3B-47CA-88CD-035F01A67FF7}"/>
            </a:ext>
            <a:ext uri="{147F2762-F138-4A5C-976F-8EAC2B608ADB}">
              <a16:predDERef xmlns:a16="http://schemas.microsoft.com/office/drawing/2014/main" pred="{4D1D934F-E986-21C1-465E-C30750139B87}"/>
            </a:ext>
          </a:extLst>
        </xdr:cNvPr>
        <xdr:cNvSpPr/>
      </xdr:nvSpPr>
      <xdr:spPr>
        <a:xfrm>
          <a:off x="16392525" y="3781425"/>
          <a:ext cx="12458700" cy="1352550"/>
        </a:xfrm>
        <a:prstGeom prst="roundRect">
          <a:avLst>
            <a:gd name="adj" fmla="val 2804"/>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GB" sz="1100"/>
        </a:p>
      </xdr:txBody>
    </xdr:sp>
    <xdr:clientData/>
  </xdr:twoCellAnchor>
  <xdr:twoCellAnchor>
    <xdr:from>
      <xdr:col>11</xdr:col>
      <xdr:colOff>1943100</xdr:colOff>
      <xdr:row>26</xdr:row>
      <xdr:rowOff>219075</xdr:rowOff>
    </xdr:from>
    <xdr:to>
      <xdr:col>17</xdr:col>
      <xdr:colOff>1438275</xdr:colOff>
      <xdr:row>34</xdr:row>
      <xdr:rowOff>247650</xdr:rowOff>
    </xdr:to>
    <xdr:sp macro="" textlink="">
      <xdr:nvSpPr>
        <xdr:cNvPr id="42" name="Rounded Rectangle 41">
          <a:extLst>
            <a:ext uri="{FF2B5EF4-FFF2-40B4-BE49-F238E27FC236}">
              <a16:creationId xmlns:a16="http://schemas.microsoft.com/office/drawing/2014/main" id="{6CA4CBCF-7A1C-480E-A5D3-235D298CDBA6}"/>
            </a:ext>
            <a:ext uri="{147F2762-F138-4A5C-976F-8EAC2B608ADB}">
              <a16:predDERef xmlns:a16="http://schemas.microsoft.com/office/drawing/2014/main" pred="{EB3AD165-AF3B-47CA-88CD-035F01A67FF7}"/>
            </a:ext>
          </a:extLst>
        </xdr:cNvPr>
        <xdr:cNvSpPr/>
      </xdr:nvSpPr>
      <xdr:spPr>
        <a:xfrm>
          <a:off x="16144875" y="8410575"/>
          <a:ext cx="12458700" cy="2286000"/>
        </a:xfrm>
        <a:prstGeom prst="roundRect">
          <a:avLst>
            <a:gd name="adj" fmla="val 2804"/>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GB" sz="1100"/>
        </a:p>
      </xdr:txBody>
    </xdr:sp>
    <xdr:clientData/>
  </xdr:twoCellAnchor>
  <xdr:twoCellAnchor>
    <xdr:from>
      <xdr:col>11</xdr:col>
      <xdr:colOff>1951520</xdr:colOff>
      <xdr:row>36</xdr:row>
      <xdr:rowOff>228600</xdr:rowOff>
    </xdr:from>
    <xdr:to>
      <xdr:col>18</xdr:col>
      <xdr:colOff>0</xdr:colOff>
      <xdr:row>45</xdr:row>
      <xdr:rowOff>47625</xdr:rowOff>
    </xdr:to>
    <xdr:sp macro="" textlink="">
      <xdr:nvSpPr>
        <xdr:cNvPr id="43" name="Rounded Rectangle 42">
          <a:extLst>
            <a:ext uri="{FF2B5EF4-FFF2-40B4-BE49-F238E27FC236}">
              <a16:creationId xmlns:a16="http://schemas.microsoft.com/office/drawing/2014/main" id="{CC18E447-549B-43F9-9B7B-4E67E4D2D3B0}"/>
            </a:ext>
            <a:ext uri="{147F2762-F138-4A5C-976F-8EAC2B608ADB}">
              <a16:predDERef xmlns:a16="http://schemas.microsoft.com/office/drawing/2014/main" pred="{6CA4CBCF-7A1C-480E-A5D3-235D298CDBA6}"/>
            </a:ext>
          </a:extLst>
        </xdr:cNvPr>
        <xdr:cNvSpPr/>
      </xdr:nvSpPr>
      <xdr:spPr>
        <a:xfrm>
          <a:off x="16153295" y="11287125"/>
          <a:ext cx="12459805" cy="2133600"/>
        </a:xfrm>
        <a:prstGeom prst="roundRect">
          <a:avLst>
            <a:gd name="adj" fmla="val 2804"/>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GB" sz="1100"/>
        </a:p>
      </xdr:txBody>
    </xdr:sp>
    <xdr:clientData/>
  </xdr:twoCellAnchor>
  <xdr:twoCellAnchor>
    <xdr:from>
      <xdr:col>12</xdr:col>
      <xdr:colOff>0</xdr:colOff>
      <xdr:row>16</xdr:row>
      <xdr:rowOff>257175</xdr:rowOff>
    </xdr:from>
    <xdr:to>
      <xdr:col>18</xdr:col>
      <xdr:colOff>0</xdr:colOff>
      <xdr:row>25</xdr:row>
      <xdr:rowOff>276225</xdr:rowOff>
    </xdr:to>
    <xdr:sp macro="" textlink="">
      <xdr:nvSpPr>
        <xdr:cNvPr id="44" name="Rounded Rectangle 43">
          <a:extLst>
            <a:ext uri="{FF2B5EF4-FFF2-40B4-BE49-F238E27FC236}">
              <a16:creationId xmlns:a16="http://schemas.microsoft.com/office/drawing/2014/main" id="{4F60C391-82AA-465E-A7DC-DCB1D04EB42C}"/>
            </a:ext>
            <a:ext uri="{147F2762-F138-4A5C-976F-8EAC2B608ADB}">
              <a16:predDERef xmlns:a16="http://schemas.microsoft.com/office/drawing/2014/main" pred="{CC18E447-549B-43F9-9B7B-4E67E4D2D3B0}"/>
            </a:ext>
          </a:extLst>
        </xdr:cNvPr>
        <xdr:cNvSpPr/>
      </xdr:nvSpPr>
      <xdr:spPr>
        <a:xfrm>
          <a:off x="16154400" y="5657850"/>
          <a:ext cx="12458700" cy="2524125"/>
        </a:xfrm>
        <a:prstGeom prst="roundRect">
          <a:avLst>
            <a:gd name="adj" fmla="val 2804"/>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GB" sz="1100"/>
        </a:p>
      </xdr:txBody>
    </xdr:sp>
    <xdr:clientData/>
  </xdr:twoCellAnchor>
  <xdr:twoCellAnchor>
    <xdr:from>
      <xdr:col>2</xdr:col>
      <xdr:colOff>38995</xdr:colOff>
      <xdr:row>38</xdr:row>
      <xdr:rowOff>238125</xdr:rowOff>
    </xdr:from>
    <xdr:to>
      <xdr:col>4</xdr:col>
      <xdr:colOff>50347</xdr:colOff>
      <xdr:row>41</xdr:row>
      <xdr:rowOff>108857</xdr:rowOff>
    </xdr:to>
    <xdr:sp macro="" textlink="">
      <xdr:nvSpPr>
        <xdr:cNvPr id="47" name="Rounded Rectangle 46">
          <a:extLst>
            <a:ext uri="{FF2B5EF4-FFF2-40B4-BE49-F238E27FC236}">
              <a16:creationId xmlns:a16="http://schemas.microsoft.com/office/drawing/2014/main" id="{AAA58FDF-1AB6-4188-86A1-5A0F0BB354CC}"/>
            </a:ext>
            <a:ext uri="{147F2762-F138-4A5C-976F-8EAC2B608ADB}">
              <a16:predDERef xmlns:a16="http://schemas.microsoft.com/office/drawing/2014/main" pred="{3F54217F-30EF-430B-8A59-7063E8EB7C4A}"/>
            </a:ext>
          </a:extLst>
        </xdr:cNvPr>
        <xdr:cNvSpPr/>
      </xdr:nvSpPr>
      <xdr:spPr>
        <a:xfrm>
          <a:off x="1957602" y="13382625"/>
          <a:ext cx="3753316" cy="646339"/>
        </a:xfrm>
        <a:prstGeom prst="roundRect">
          <a:avLst>
            <a:gd name="adj" fmla="val 2804"/>
          </a:avLst>
        </a:prstGeom>
        <a:noFill/>
        <a:ln w="3810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GB" sz="1100"/>
        </a:p>
      </xdr:txBody>
    </xdr:sp>
    <xdr:clientData/>
  </xdr:twoCellAnchor>
  <xdr:twoCellAnchor>
    <xdr:from>
      <xdr:col>2</xdr:col>
      <xdr:colOff>0</xdr:colOff>
      <xdr:row>44</xdr:row>
      <xdr:rowOff>0</xdr:rowOff>
    </xdr:from>
    <xdr:to>
      <xdr:col>8</xdr:col>
      <xdr:colOff>19050</xdr:colOff>
      <xdr:row>49</xdr:row>
      <xdr:rowOff>0</xdr:rowOff>
    </xdr:to>
    <xdr:sp macro="" textlink="">
      <xdr:nvSpPr>
        <xdr:cNvPr id="48" name="Rounded Rectangle 47">
          <a:extLst>
            <a:ext uri="{FF2B5EF4-FFF2-40B4-BE49-F238E27FC236}">
              <a16:creationId xmlns:a16="http://schemas.microsoft.com/office/drawing/2014/main" id="{FD35D81B-38CF-4548-BA8D-17EBBD095E1F}"/>
            </a:ext>
            <a:ext uri="{147F2762-F138-4A5C-976F-8EAC2B608ADB}">
              <a16:predDERef xmlns:a16="http://schemas.microsoft.com/office/drawing/2014/main" pred="{AAA58FDF-1AB6-4188-86A1-5A0F0BB354CC}"/>
            </a:ext>
          </a:extLst>
        </xdr:cNvPr>
        <xdr:cNvSpPr/>
      </xdr:nvSpPr>
      <xdr:spPr>
        <a:xfrm>
          <a:off x="1914525" y="13020675"/>
          <a:ext cx="9496425" cy="1285875"/>
        </a:xfrm>
        <a:prstGeom prst="roundRect">
          <a:avLst>
            <a:gd name="adj" fmla="val 2804"/>
          </a:avLst>
        </a:prstGeom>
        <a:noFill/>
        <a:ln w="3810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GB" sz="1100"/>
        </a:p>
      </xdr:txBody>
    </xdr:sp>
    <xdr:clientData/>
  </xdr:twoCellAnchor>
  <xdr:twoCellAnchor>
    <xdr:from>
      <xdr:col>11</xdr:col>
      <xdr:colOff>304800</xdr:colOff>
      <xdr:row>11</xdr:row>
      <xdr:rowOff>552173</xdr:rowOff>
    </xdr:from>
    <xdr:to>
      <xdr:col>11</xdr:col>
      <xdr:colOff>1733550</xdr:colOff>
      <xdr:row>15</xdr:row>
      <xdr:rowOff>57149</xdr:rowOff>
    </xdr:to>
    <xdr:sp macro="" textlink="">
      <xdr:nvSpPr>
        <xdr:cNvPr id="52" name="Rounded Rectangle 51">
          <a:extLst>
            <a:ext uri="{FF2B5EF4-FFF2-40B4-BE49-F238E27FC236}">
              <a16:creationId xmlns:a16="http://schemas.microsoft.com/office/drawing/2014/main" id="{1D73DFB0-8695-4AC7-9634-73602293695A}"/>
            </a:ext>
            <a:ext uri="{147F2762-F138-4A5C-976F-8EAC2B608ADB}">
              <a16:predDERef xmlns:a16="http://schemas.microsoft.com/office/drawing/2014/main" pred="{CC0CDDD7-9240-4341-B911-05FC87B323ED}"/>
            </a:ext>
          </a:extLst>
        </xdr:cNvPr>
        <xdr:cNvSpPr/>
      </xdr:nvSpPr>
      <xdr:spPr>
        <a:xfrm>
          <a:off x="14587699" y="3699564"/>
          <a:ext cx="1428750" cy="1474397"/>
        </a:xfrm>
        <a:prstGeom prst="roundRect">
          <a:avLst/>
        </a:prstGeom>
        <a:solidFill>
          <a:schemeClr val="bg1"/>
        </a:solidFill>
        <a:ln w="38100">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11</xdr:col>
      <xdr:colOff>314325</xdr:colOff>
      <xdr:row>16</xdr:row>
      <xdr:rowOff>247650</xdr:rowOff>
    </xdr:from>
    <xdr:to>
      <xdr:col>11</xdr:col>
      <xdr:colOff>1743075</xdr:colOff>
      <xdr:row>25</xdr:row>
      <xdr:rowOff>266700</xdr:rowOff>
    </xdr:to>
    <xdr:sp macro="" textlink="">
      <xdr:nvSpPr>
        <xdr:cNvPr id="53" name="Rounded Rectangle 52">
          <a:extLst>
            <a:ext uri="{FF2B5EF4-FFF2-40B4-BE49-F238E27FC236}">
              <a16:creationId xmlns:a16="http://schemas.microsoft.com/office/drawing/2014/main" id="{5BC14F33-1F26-4927-A15B-77912C755E89}"/>
            </a:ext>
            <a:ext uri="{147F2762-F138-4A5C-976F-8EAC2B608ADB}">
              <a16:predDERef xmlns:a16="http://schemas.microsoft.com/office/drawing/2014/main" pred="{1D73DFB0-8695-4AC7-9634-73602293695A}"/>
            </a:ext>
          </a:extLst>
        </xdr:cNvPr>
        <xdr:cNvSpPr/>
      </xdr:nvSpPr>
      <xdr:spPr>
        <a:xfrm>
          <a:off x="14516100" y="5648325"/>
          <a:ext cx="1428750" cy="2524125"/>
        </a:xfrm>
        <a:prstGeom prst="roundRect">
          <a:avLst/>
        </a:prstGeom>
        <a:solidFill>
          <a:schemeClr val="bg1"/>
        </a:solidFill>
        <a:ln w="38100">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editAs="oneCell">
    <xdr:from>
      <xdr:col>11</xdr:col>
      <xdr:colOff>428625</xdr:colOff>
      <xdr:row>19</xdr:row>
      <xdr:rowOff>0</xdr:rowOff>
    </xdr:from>
    <xdr:to>
      <xdr:col>11</xdr:col>
      <xdr:colOff>1638300</xdr:colOff>
      <xdr:row>23</xdr:row>
      <xdr:rowOff>161923</xdr:rowOff>
    </xdr:to>
    <xdr:pic>
      <xdr:nvPicPr>
        <xdr:cNvPr id="54" name="Picture 53">
          <a:extLst>
            <a:ext uri="{FF2B5EF4-FFF2-40B4-BE49-F238E27FC236}">
              <a16:creationId xmlns:a16="http://schemas.microsoft.com/office/drawing/2014/main" id="{73F82631-6F8D-F789-077C-079FE4F436BF}"/>
            </a:ext>
            <a:ext uri="{147F2762-F138-4A5C-976F-8EAC2B608ADB}">
              <a16:predDERef xmlns:a16="http://schemas.microsoft.com/office/drawing/2014/main" pred="{5BC14F33-1F26-4927-A15B-77912C755E89}"/>
            </a:ext>
          </a:extLst>
        </xdr:cNvPr>
        <xdr:cNvPicPr>
          <a:picLocks noChangeAspect="1"/>
        </xdr:cNvPicPr>
      </xdr:nvPicPr>
      <xdr:blipFill>
        <a:blip xmlns:r="http://schemas.openxmlformats.org/officeDocument/2006/relationships" r:embed="rId11"/>
        <a:stretch>
          <a:fillRect/>
        </a:stretch>
      </xdr:blipFill>
      <xdr:spPr>
        <a:xfrm>
          <a:off x="14630400" y="6267450"/>
          <a:ext cx="1209675" cy="1209673"/>
        </a:xfrm>
        <a:prstGeom prst="rect">
          <a:avLst/>
        </a:prstGeom>
      </xdr:spPr>
    </xdr:pic>
    <xdr:clientData/>
  </xdr:twoCellAnchor>
  <xdr:twoCellAnchor editAs="oneCell">
    <xdr:from>
      <xdr:col>11</xdr:col>
      <xdr:colOff>523231</xdr:colOff>
      <xdr:row>12</xdr:row>
      <xdr:rowOff>186773</xdr:rowOff>
    </xdr:from>
    <xdr:to>
      <xdr:col>11</xdr:col>
      <xdr:colOff>1532881</xdr:colOff>
      <xdr:row>14</xdr:row>
      <xdr:rowOff>246822</xdr:rowOff>
    </xdr:to>
    <xdr:pic>
      <xdr:nvPicPr>
        <xdr:cNvPr id="56" name="Picture 55">
          <a:extLst>
            <a:ext uri="{FF2B5EF4-FFF2-40B4-BE49-F238E27FC236}">
              <a16:creationId xmlns:a16="http://schemas.microsoft.com/office/drawing/2014/main" id="{E936E671-1DCB-B748-CD1A-F7C171A3AD0A}"/>
            </a:ext>
            <a:ext uri="{147F2762-F138-4A5C-976F-8EAC2B608ADB}">
              <a16:predDERef xmlns:a16="http://schemas.microsoft.com/office/drawing/2014/main" pred="{73F82631-6F8D-F789-077C-079FE4F436BF}"/>
            </a:ext>
          </a:extLst>
        </xdr:cNvPr>
        <xdr:cNvPicPr>
          <a:picLocks noChangeAspect="1"/>
        </xdr:cNvPicPr>
      </xdr:nvPicPr>
      <xdr:blipFill>
        <a:blip xmlns:r="http://schemas.openxmlformats.org/officeDocument/2006/relationships" r:embed="rId12"/>
        <a:stretch>
          <a:fillRect/>
        </a:stretch>
      </xdr:blipFill>
      <xdr:spPr>
        <a:xfrm>
          <a:off x="14806130" y="3978367"/>
          <a:ext cx="1009650" cy="998745"/>
        </a:xfrm>
        <a:prstGeom prst="rect">
          <a:avLst/>
        </a:prstGeom>
      </xdr:spPr>
    </xdr:pic>
    <xdr:clientData/>
  </xdr:twoCellAnchor>
  <xdr:twoCellAnchor>
    <xdr:from>
      <xdr:col>11</xdr:col>
      <xdr:colOff>323850</xdr:colOff>
      <xdr:row>26</xdr:row>
      <xdr:rowOff>200025</xdr:rowOff>
    </xdr:from>
    <xdr:to>
      <xdr:col>11</xdr:col>
      <xdr:colOff>1752600</xdr:colOff>
      <xdr:row>35</xdr:row>
      <xdr:rowOff>9525</xdr:rowOff>
    </xdr:to>
    <xdr:sp macro="" textlink="">
      <xdr:nvSpPr>
        <xdr:cNvPr id="57" name="Rounded Rectangle 56">
          <a:extLst>
            <a:ext uri="{FF2B5EF4-FFF2-40B4-BE49-F238E27FC236}">
              <a16:creationId xmlns:a16="http://schemas.microsoft.com/office/drawing/2014/main" id="{F77EC71A-03CD-4439-B399-3687FEC51AFF}"/>
            </a:ext>
            <a:ext uri="{147F2762-F138-4A5C-976F-8EAC2B608ADB}">
              <a16:predDERef xmlns:a16="http://schemas.microsoft.com/office/drawing/2014/main" pred="{E936E671-1DCB-B748-CD1A-F7C171A3AD0A}"/>
            </a:ext>
          </a:extLst>
        </xdr:cNvPr>
        <xdr:cNvSpPr/>
      </xdr:nvSpPr>
      <xdr:spPr>
        <a:xfrm>
          <a:off x="14525625" y="8391525"/>
          <a:ext cx="1428750" cy="2324100"/>
        </a:xfrm>
        <a:prstGeom prst="roundRect">
          <a:avLst/>
        </a:prstGeom>
        <a:solidFill>
          <a:schemeClr val="bg1"/>
        </a:solidFill>
        <a:ln w="38100">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editAs="oneCell">
    <xdr:from>
      <xdr:col>11</xdr:col>
      <xdr:colOff>466725</xdr:colOff>
      <xdr:row>28</xdr:row>
      <xdr:rowOff>238125</xdr:rowOff>
    </xdr:from>
    <xdr:to>
      <xdr:col>11</xdr:col>
      <xdr:colOff>1571625</xdr:colOff>
      <xdr:row>32</xdr:row>
      <xdr:rowOff>133349</xdr:rowOff>
    </xdr:to>
    <xdr:pic>
      <xdr:nvPicPr>
        <xdr:cNvPr id="59" name="Picture 58">
          <a:extLst>
            <a:ext uri="{FF2B5EF4-FFF2-40B4-BE49-F238E27FC236}">
              <a16:creationId xmlns:a16="http://schemas.microsoft.com/office/drawing/2014/main" id="{DCE60080-7773-5A20-6FE6-1486C18FE203}"/>
            </a:ext>
            <a:ext uri="{147F2762-F138-4A5C-976F-8EAC2B608ADB}">
              <a16:predDERef xmlns:a16="http://schemas.microsoft.com/office/drawing/2014/main" pred="{F77EC71A-03CD-4439-B399-3687FEC51AFF}"/>
            </a:ext>
          </a:extLst>
        </xdr:cNvPr>
        <xdr:cNvPicPr>
          <a:picLocks noChangeAspect="1"/>
        </xdr:cNvPicPr>
      </xdr:nvPicPr>
      <xdr:blipFill>
        <a:blip xmlns:r="http://schemas.openxmlformats.org/officeDocument/2006/relationships" r:embed="rId13"/>
        <a:stretch>
          <a:fillRect/>
        </a:stretch>
      </xdr:blipFill>
      <xdr:spPr>
        <a:xfrm>
          <a:off x="14668500" y="8963025"/>
          <a:ext cx="1104900" cy="1104899"/>
        </a:xfrm>
        <a:prstGeom prst="rect">
          <a:avLst/>
        </a:prstGeom>
      </xdr:spPr>
    </xdr:pic>
    <xdr:clientData/>
  </xdr:twoCellAnchor>
  <xdr:twoCellAnchor>
    <xdr:from>
      <xdr:col>11</xdr:col>
      <xdr:colOff>361950</xdr:colOff>
      <xdr:row>36</xdr:row>
      <xdr:rowOff>180975</xdr:rowOff>
    </xdr:from>
    <xdr:to>
      <xdr:col>11</xdr:col>
      <xdr:colOff>1790700</xdr:colOff>
      <xdr:row>45</xdr:row>
      <xdr:rowOff>57150</xdr:rowOff>
    </xdr:to>
    <xdr:sp macro="" textlink="">
      <xdr:nvSpPr>
        <xdr:cNvPr id="60" name="Rounded Rectangle 59">
          <a:extLst>
            <a:ext uri="{FF2B5EF4-FFF2-40B4-BE49-F238E27FC236}">
              <a16:creationId xmlns:a16="http://schemas.microsoft.com/office/drawing/2014/main" id="{8957B95F-B065-4565-89E8-C5C56D199E4C}"/>
            </a:ext>
            <a:ext uri="{147F2762-F138-4A5C-976F-8EAC2B608ADB}">
              <a16:predDERef xmlns:a16="http://schemas.microsoft.com/office/drawing/2014/main" pred="{DCE60080-7773-5A20-6FE6-1486C18FE203}"/>
            </a:ext>
          </a:extLst>
        </xdr:cNvPr>
        <xdr:cNvSpPr/>
      </xdr:nvSpPr>
      <xdr:spPr>
        <a:xfrm>
          <a:off x="14563725" y="11239500"/>
          <a:ext cx="1428750" cy="2190750"/>
        </a:xfrm>
        <a:prstGeom prst="roundRect">
          <a:avLst/>
        </a:prstGeom>
        <a:solidFill>
          <a:schemeClr val="bg1"/>
        </a:solidFill>
        <a:ln w="38100">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editAs="oneCell">
    <xdr:from>
      <xdr:col>11</xdr:col>
      <xdr:colOff>400050</xdr:colOff>
      <xdr:row>38</xdr:row>
      <xdr:rowOff>161925</xdr:rowOff>
    </xdr:from>
    <xdr:to>
      <xdr:col>11</xdr:col>
      <xdr:colOff>1733550</xdr:colOff>
      <xdr:row>43</xdr:row>
      <xdr:rowOff>209551</xdr:rowOff>
    </xdr:to>
    <xdr:pic>
      <xdr:nvPicPr>
        <xdr:cNvPr id="61" name="Picture 60">
          <a:extLst>
            <a:ext uri="{FF2B5EF4-FFF2-40B4-BE49-F238E27FC236}">
              <a16:creationId xmlns:a16="http://schemas.microsoft.com/office/drawing/2014/main" id="{27F9255C-D6B5-4840-E152-505E1A15F1F0}"/>
            </a:ext>
            <a:ext uri="{147F2762-F138-4A5C-976F-8EAC2B608ADB}">
              <a16:predDERef xmlns:a16="http://schemas.microsoft.com/office/drawing/2014/main" pred="{8957B95F-B065-4565-89E8-C5C56D199E4C}"/>
            </a:ext>
          </a:extLst>
        </xdr:cNvPr>
        <xdr:cNvPicPr>
          <a:picLocks noChangeAspect="1"/>
        </xdr:cNvPicPr>
      </xdr:nvPicPr>
      <xdr:blipFill>
        <a:blip xmlns:r="http://schemas.openxmlformats.org/officeDocument/2006/relationships" r:embed="rId14"/>
        <a:stretch>
          <a:fillRect/>
        </a:stretch>
      </xdr:blipFill>
      <xdr:spPr>
        <a:xfrm>
          <a:off x="14601825" y="11734800"/>
          <a:ext cx="1333500" cy="1333501"/>
        </a:xfrm>
        <a:prstGeom prst="rect">
          <a:avLst/>
        </a:prstGeom>
      </xdr:spPr>
    </xdr:pic>
    <xdr:clientData/>
  </xdr:twoCellAnchor>
  <xdr:twoCellAnchor>
    <xdr:from>
      <xdr:col>11</xdr:col>
      <xdr:colOff>1485900</xdr:colOff>
      <xdr:row>47</xdr:row>
      <xdr:rowOff>9525</xdr:rowOff>
    </xdr:from>
    <xdr:to>
      <xdr:col>12</xdr:col>
      <xdr:colOff>3905250</xdr:colOff>
      <xdr:row>61</xdr:row>
      <xdr:rowOff>314325</xdr:rowOff>
    </xdr:to>
    <xdr:sp macro="" textlink="">
      <xdr:nvSpPr>
        <xdr:cNvPr id="15" name="Rounded Rectangle 14">
          <a:extLst>
            <a:ext uri="{FF2B5EF4-FFF2-40B4-BE49-F238E27FC236}">
              <a16:creationId xmlns:a16="http://schemas.microsoft.com/office/drawing/2014/main" id="{65D111CA-9326-4E2A-B550-A981184D1B8E}"/>
            </a:ext>
            <a:ext uri="{147F2762-F138-4A5C-976F-8EAC2B608ADB}">
              <a16:predDERef xmlns:a16="http://schemas.microsoft.com/office/drawing/2014/main" pred="{27F9255C-D6B5-4840-E152-505E1A15F1F0}"/>
            </a:ext>
          </a:extLst>
        </xdr:cNvPr>
        <xdr:cNvSpPr/>
      </xdr:nvSpPr>
      <xdr:spPr>
        <a:xfrm>
          <a:off x="15687675" y="13896975"/>
          <a:ext cx="4371975" cy="3810000"/>
        </a:xfrm>
        <a:prstGeom prst="roundRect">
          <a:avLst>
            <a:gd name="adj" fmla="val 2804"/>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GB" sz="1100"/>
        </a:p>
      </xdr:txBody>
    </xdr:sp>
    <xdr:clientData/>
  </xdr:twoCellAnchor>
  <xdr:twoCellAnchor>
    <xdr:from>
      <xdr:col>12</xdr:col>
      <xdr:colOff>4524375</xdr:colOff>
      <xdr:row>46</xdr:row>
      <xdr:rowOff>209550</xdr:rowOff>
    </xdr:from>
    <xdr:to>
      <xdr:col>17</xdr:col>
      <xdr:colOff>1171575</xdr:colOff>
      <xdr:row>62</xdr:row>
      <xdr:rowOff>209550</xdr:rowOff>
    </xdr:to>
    <xdr:sp macro="" textlink="">
      <xdr:nvSpPr>
        <xdr:cNvPr id="16" name="Rounded Rectangle 15">
          <a:extLst>
            <a:ext uri="{FF2B5EF4-FFF2-40B4-BE49-F238E27FC236}">
              <a16:creationId xmlns:a16="http://schemas.microsoft.com/office/drawing/2014/main" id="{636E3F70-1DEB-4944-B75E-DCD5BA1FE102}"/>
            </a:ext>
            <a:ext uri="{147F2762-F138-4A5C-976F-8EAC2B608ADB}">
              <a16:predDERef xmlns:a16="http://schemas.microsoft.com/office/drawing/2014/main" pred="{65D111CA-9326-4E2A-B550-A981184D1B8E}"/>
            </a:ext>
          </a:extLst>
        </xdr:cNvPr>
        <xdr:cNvSpPr/>
      </xdr:nvSpPr>
      <xdr:spPr>
        <a:xfrm>
          <a:off x="20678775" y="13839825"/>
          <a:ext cx="7658100" cy="4095750"/>
        </a:xfrm>
        <a:prstGeom prst="roundRect">
          <a:avLst>
            <a:gd name="adj" fmla="val 2804"/>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GB" sz="1100"/>
        </a:p>
      </xdr:txBody>
    </xdr:sp>
    <xdr:clientData/>
  </xdr:twoCellAnchor>
  <xdr:twoCellAnchor>
    <xdr:from>
      <xdr:col>11</xdr:col>
      <xdr:colOff>352425</xdr:colOff>
      <xdr:row>63</xdr:row>
      <xdr:rowOff>161925</xdr:rowOff>
    </xdr:from>
    <xdr:to>
      <xdr:col>11</xdr:col>
      <xdr:colOff>1781175</xdr:colOff>
      <xdr:row>69</xdr:row>
      <xdr:rowOff>76200</xdr:rowOff>
    </xdr:to>
    <xdr:sp macro="" textlink="">
      <xdr:nvSpPr>
        <xdr:cNvPr id="55" name="Rounded Rectangle 54">
          <a:extLst>
            <a:ext uri="{FF2B5EF4-FFF2-40B4-BE49-F238E27FC236}">
              <a16:creationId xmlns:a16="http://schemas.microsoft.com/office/drawing/2014/main" id="{F566F054-D7F2-44F4-A3CA-EF4CC675BDD1}"/>
            </a:ext>
            <a:ext uri="{147F2762-F138-4A5C-976F-8EAC2B608ADB}">
              <a16:predDERef xmlns:a16="http://schemas.microsoft.com/office/drawing/2014/main" pred="{636E3F70-1DEB-4944-B75E-DCD5BA1FE102}"/>
            </a:ext>
          </a:extLst>
        </xdr:cNvPr>
        <xdr:cNvSpPr/>
      </xdr:nvSpPr>
      <xdr:spPr>
        <a:xfrm>
          <a:off x="14554200" y="18202275"/>
          <a:ext cx="1428750" cy="1847850"/>
        </a:xfrm>
        <a:prstGeom prst="roundRect">
          <a:avLst/>
        </a:prstGeom>
        <a:solidFill>
          <a:schemeClr val="bg1"/>
        </a:solidFill>
        <a:ln w="38100">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12</xdr:col>
      <xdr:colOff>0</xdr:colOff>
      <xdr:row>63</xdr:row>
      <xdr:rowOff>285750</xdr:rowOff>
    </xdr:from>
    <xdr:to>
      <xdr:col>18</xdr:col>
      <xdr:colOff>19050</xdr:colOff>
      <xdr:row>69</xdr:row>
      <xdr:rowOff>19050</xdr:rowOff>
    </xdr:to>
    <xdr:sp macro="" textlink="">
      <xdr:nvSpPr>
        <xdr:cNvPr id="58" name="Rounded Rectangle 42">
          <a:extLst>
            <a:ext uri="{FF2B5EF4-FFF2-40B4-BE49-F238E27FC236}">
              <a16:creationId xmlns:a16="http://schemas.microsoft.com/office/drawing/2014/main" id="{FF99C7D0-0341-4406-BB00-D7F4B13CD1A2}"/>
            </a:ext>
            <a:ext uri="{147F2762-F138-4A5C-976F-8EAC2B608ADB}">
              <a16:predDERef xmlns:a16="http://schemas.microsoft.com/office/drawing/2014/main" pred="{F566F054-D7F2-44F4-A3CA-EF4CC675BDD1}"/>
            </a:ext>
          </a:extLst>
        </xdr:cNvPr>
        <xdr:cNvSpPr/>
      </xdr:nvSpPr>
      <xdr:spPr>
        <a:xfrm>
          <a:off x="16510000" y="17550388"/>
          <a:ext cx="14357166" cy="1776343"/>
        </a:xfrm>
        <a:prstGeom prst="roundRect">
          <a:avLst>
            <a:gd name="adj" fmla="val 2804"/>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GB" sz="1100"/>
        </a:p>
      </xdr:txBody>
    </xdr:sp>
    <xdr:clientData/>
  </xdr:twoCellAnchor>
  <xdr:twoCellAnchor editAs="oneCell">
    <xdr:from>
      <xdr:col>11</xdr:col>
      <xdr:colOff>438150</xdr:colOff>
      <xdr:row>64</xdr:row>
      <xdr:rowOff>200025</xdr:rowOff>
    </xdr:from>
    <xdr:to>
      <xdr:col>11</xdr:col>
      <xdr:colOff>1600200</xdr:colOff>
      <xdr:row>67</xdr:row>
      <xdr:rowOff>304799</xdr:rowOff>
    </xdr:to>
    <xdr:pic>
      <xdr:nvPicPr>
        <xdr:cNvPr id="62" name="Picture 61">
          <a:extLst>
            <a:ext uri="{FF2B5EF4-FFF2-40B4-BE49-F238E27FC236}">
              <a16:creationId xmlns:a16="http://schemas.microsoft.com/office/drawing/2014/main" id="{2CF8F4AC-76BD-8817-0C5F-733723F66BC6}"/>
            </a:ext>
            <a:ext uri="{147F2762-F138-4A5C-976F-8EAC2B608ADB}">
              <a16:predDERef xmlns:a16="http://schemas.microsoft.com/office/drawing/2014/main" pred="{FF99C7D0-0341-4406-BB00-D7F4B13CD1A2}"/>
            </a:ext>
          </a:extLst>
        </xdr:cNvPr>
        <xdr:cNvPicPr>
          <a:picLocks noChangeAspect="1"/>
        </xdr:cNvPicPr>
      </xdr:nvPicPr>
      <xdr:blipFill>
        <a:blip xmlns:r="http://schemas.openxmlformats.org/officeDocument/2006/relationships" r:embed="rId15"/>
        <a:stretch>
          <a:fillRect/>
        </a:stretch>
      </xdr:blipFill>
      <xdr:spPr>
        <a:xfrm>
          <a:off x="14639925" y="18545175"/>
          <a:ext cx="1162050" cy="1162049"/>
        </a:xfrm>
        <a:prstGeom prst="rect">
          <a:avLst/>
        </a:prstGeom>
      </xdr:spPr>
    </xdr:pic>
    <xdr:clientData/>
  </xdr:twoCellAnchor>
  <xdr:twoCellAnchor>
    <xdr:from>
      <xdr:col>12</xdr:col>
      <xdr:colOff>1038225</xdr:colOff>
      <xdr:row>71</xdr:row>
      <xdr:rowOff>171450</xdr:rowOff>
    </xdr:from>
    <xdr:to>
      <xdr:col>16</xdr:col>
      <xdr:colOff>695325</xdr:colOff>
      <xdr:row>93</xdr:row>
      <xdr:rowOff>76200</xdr:rowOff>
    </xdr:to>
    <xdr:graphicFrame macro="">
      <xdr:nvGraphicFramePr>
        <xdr:cNvPr id="28" name="Chart 27">
          <a:extLst>
            <a:ext uri="{FF2B5EF4-FFF2-40B4-BE49-F238E27FC236}">
              <a16:creationId xmlns:a16="http://schemas.microsoft.com/office/drawing/2014/main" id="{A6DE4C1D-945F-9829-044F-292161C1FE37}"/>
            </a:ext>
            <a:ext uri="{147F2762-F138-4A5C-976F-8EAC2B608ADB}">
              <a16:predDERef xmlns:a16="http://schemas.microsoft.com/office/drawing/2014/main" pred="{2CF8F4AC-76BD-8817-0C5F-733723F66B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12</xdr:col>
      <xdr:colOff>1019175</xdr:colOff>
      <xdr:row>72</xdr:row>
      <xdr:rowOff>19050</xdr:rowOff>
    </xdr:from>
    <xdr:to>
      <xdr:col>16</xdr:col>
      <xdr:colOff>695325</xdr:colOff>
      <xdr:row>93</xdr:row>
      <xdr:rowOff>85725</xdr:rowOff>
    </xdr:to>
    <xdr:sp macro="" textlink="">
      <xdr:nvSpPr>
        <xdr:cNvPr id="45" name="Rounded Rectangle 44">
          <a:extLst>
            <a:ext uri="{FF2B5EF4-FFF2-40B4-BE49-F238E27FC236}">
              <a16:creationId xmlns:a16="http://schemas.microsoft.com/office/drawing/2014/main" id="{66279920-01F1-411F-92C4-004642D49F9C}"/>
            </a:ext>
            <a:ext uri="{147F2762-F138-4A5C-976F-8EAC2B608ADB}">
              <a16:predDERef xmlns:a16="http://schemas.microsoft.com/office/drawing/2014/main" pred="{A6DE4C1D-945F-9829-044F-292161C1FE37}"/>
            </a:ext>
          </a:extLst>
        </xdr:cNvPr>
        <xdr:cNvSpPr/>
      </xdr:nvSpPr>
      <xdr:spPr>
        <a:xfrm>
          <a:off x="17173575" y="20564475"/>
          <a:ext cx="9220200" cy="4391025"/>
        </a:xfrm>
        <a:prstGeom prst="roundRect">
          <a:avLst>
            <a:gd name="adj" fmla="val 2804"/>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GB" sz="1100"/>
        </a:p>
      </xdr:txBody>
    </xdr:sp>
    <xdr:clientData/>
  </xdr:twoCellAnchor>
  <xdr:twoCellAnchor>
    <xdr:from>
      <xdr:col>5</xdr:col>
      <xdr:colOff>295275</xdr:colOff>
      <xdr:row>14</xdr:row>
      <xdr:rowOff>342900</xdr:rowOff>
    </xdr:from>
    <xdr:to>
      <xdr:col>5</xdr:col>
      <xdr:colOff>1123950</xdr:colOff>
      <xdr:row>17</xdr:row>
      <xdr:rowOff>57150</xdr:rowOff>
    </xdr:to>
    <xdr:sp macro="" textlink="">
      <xdr:nvSpPr>
        <xdr:cNvPr id="78" name="Rounded Rectangle 62">
          <a:extLst>
            <a:ext uri="{FF2B5EF4-FFF2-40B4-BE49-F238E27FC236}">
              <a16:creationId xmlns:a16="http://schemas.microsoft.com/office/drawing/2014/main" id="{5A2E80A5-0728-B642-80AC-722C7DB38C14}"/>
            </a:ext>
            <a:ext uri="{147F2762-F138-4A5C-976F-8EAC2B608ADB}">
              <a16:predDERef xmlns:a16="http://schemas.microsoft.com/office/drawing/2014/main" pred="{66279920-01F1-411F-92C4-004642D49F9C}"/>
            </a:ext>
          </a:extLst>
        </xdr:cNvPr>
        <xdr:cNvSpPr/>
      </xdr:nvSpPr>
      <xdr:spPr>
        <a:xfrm>
          <a:off x="7639050" y="5067300"/>
          <a:ext cx="828675" cy="695325"/>
        </a:xfrm>
        <a:prstGeom prst="roundRect">
          <a:avLst/>
        </a:prstGeom>
        <a:solidFill>
          <a:schemeClr val="bg1"/>
        </a:solidFill>
        <a:ln w="28575">
          <a:solidFill>
            <a:schemeClr val="accent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endParaRPr lang="en-US" sz="1200">
            <a:solidFill>
              <a:schemeClr val="lt1"/>
            </a:solidFill>
            <a:latin typeface="+mn-lt"/>
            <a:ea typeface="+mn-lt"/>
            <a:cs typeface="+mn-lt"/>
          </a:endParaRPr>
        </a:p>
      </xdr:txBody>
    </xdr:sp>
    <xdr:clientData/>
  </xdr:twoCellAnchor>
  <xdr:twoCellAnchor>
    <xdr:from>
      <xdr:col>5</xdr:col>
      <xdr:colOff>290945</xdr:colOff>
      <xdr:row>17</xdr:row>
      <xdr:rowOff>180975</xdr:rowOff>
    </xdr:from>
    <xdr:to>
      <xdr:col>5</xdr:col>
      <xdr:colOff>1133475</xdr:colOff>
      <xdr:row>20</xdr:row>
      <xdr:rowOff>66675</xdr:rowOff>
    </xdr:to>
    <xdr:sp macro="" textlink="">
      <xdr:nvSpPr>
        <xdr:cNvPr id="73" name="Rounded Rectangle 68">
          <a:extLst>
            <a:ext uri="{FF2B5EF4-FFF2-40B4-BE49-F238E27FC236}">
              <a16:creationId xmlns:a16="http://schemas.microsoft.com/office/drawing/2014/main" id="{FC5A8EE6-7506-3E41-8F74-AA75CC815262}"/>
            </a:ext>
            <a:ext uri="{147F2762-F138-4A5C-976F-8EAC2B608ADB}">
              <a16:predDERef xmlns:a16="http://schemas.microsoft.com/office/drawing/2014/main" pred="{0FDFCDD1-8E2E-8846-B670-CB4603F6E756}"/>
            </a:ext>
          </a:extLst>
        </xdr:cNvPr>
        <xdr:cNvSpPr/>
      </xdr:nvSpPr>
      <xdr:spPr>
        <a:xfrm>
          <a:off x="7980218" y="5875193"/>
          <a:ext cx="842530" cy="689264"/>
        </a:xfrm>
        <a:prstGeom prst="roundRect">
          <a:avLst/>
        </a:prstGeom>
        <a:solidFill>
          <a:schemeClr val="bg1"/>
        </a:solidFill>
        <a:ln w="28575">
          <a:solidFill>
            <a:schemeClr val="accent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endParaRPr lang="en-US" sz="1200">
            <a:solidFill>
              <a:schemeClr val="lt1"/>
            </a:solidFill>
            <a:latin typeface="+mn-lt"/>
            <a:ea typeface="+mn-lt"/>
            <a:cs typeface="+mn-lt"/>
          </a:endParaRPr>
        </a:p>
      </xdr:txBody>
    </xdr:sp>
    <xdr:clientData/>
  </xdr:twoCellAnchor>
  <xdr:twoCellAnchor editAs="oneCell">
    <xdr:from>
      <xdr:col>5</xdr:col>
      <xdr:colOff>429491</xdr:colOff>
      <xdr:row>15</xdr:row>
      <xdr:rowOff>13855</xdr:rowOff>
    </xdr:from>
    <xdr:to>
      <xdr:col>5</xdr:col>
      <xdr:colOff>981941</xdr:colOff>
      <xdr:row>16</xdr:row>
      <xdr:rowOff>297007</xdr:rowOff>
    </xdr:to>
    <xdr:pic>
      <xdr:nvPicPr>
        <xdr:cNvPr id="72" name="Picture 74">
          <a:extLst>
            <a:ext uri="{FF2B5EF4-FFF2-40B4-BE49-F238E27FC236}">
              <a16:creationId xmlns:a16="http://schemas.microsoft.com/office/drawing/2014/main" id="{63999527-148D-354E-9282-F0EA8EB32424}"/>
            </a:ext>
            <a:ext uri="{147F2762-F138-4A5C-976F-8EAC2B608ADB}">
              <a16:predDERef xmlns:a16="http://schemas.microsoft.com/office/drawing/2014/main" pred="{1ACD7D76-3D77-7B4D-BBC3-D090720F3888}"/>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8118764" y="5112328"/>
          <a:ext cx="552450" cy="574097"/>
        </a:xfrm>
        <a:prstGeom prst="rect">
          <a:avLst/>
        </a:prstGeom>
      </xdr:spPr>
    </xdr:pic>
    <xdr:clientData/>
  </xdr:twoCellAnchor>
  <xdr:twoCellAnchor editAs="oneCell">
    <xdr:from>
      <xdr:col>5</xdr:col>
      <xdr:colOff>453736</xdr:colOff>
      <xdr:row>17</xdr:row>
      <xdr:rowOff>286616</xdr:rowOff>
    </xdr:from>
    <xdr:to>
      <xdr:col>5</xdr:col>
      <xdr:colOff>958561</xdr:colOff>
      <xdr:row>19</xdr:row>
      <xdr:rowOff>241589</xdr:rowOff>
    </xdr:to>
    <xdr:pic>
      <xdr:nvPicPr>
        <xdr:cNvPr id="23" name="Picture 22">
          <a:extLst>
            <a:ext uri="{FF2B5EF4-FFF2-40B4-BE49-F238E27FC236}">
              <a16:creationId xmlns:a16="http://schemas.microsoft.com/office/drawing/2014/main" id="{483EC88B-D54C-A6E4-3AD2-6FDD6F418D8F}"/>
            </a:ext>
            <a:ext uri="{147F2762-F138-4A5C-976F-8EAC2B608ADB}">
              <a16:predDERef xmlns:a16="http://schemas.microsoft.com/office/drawing/2014/main" pred="{E8A0B8B8-B254-4493-B6E1-FD3026428602}"/>
            </a:ext>
          </a:extLst>
        </xdr:cNvPr>
        <xdr:cNvPicPr>
          <a:picLocks noChangeAspect="1"/>
        </xdr:cNvPicPr>
      </xdr:nvPicPr>
      <xdr:blipFill>
        <a:blip xmlns:r="http://schemas.openxmlformats.org/officeDocument/2006/relationships" r:embed="rId18"/>
        <a:stretch>
          <a:fillRect/>
        </a:stretch>
      </xdr:blipFill>
      <xdr:spPr>
        <a:xfrm>
          <a:off x="8143009" y="5980834"/>
          <a:ext cx="504825" cy="509155"/>
        </a:xfrm>
        <a:prstGeom prst="rect">
          <a:avLst/>
        </a:prstGeom>
      </xdr:spPr>
    </xdr:pic>
    <xdr:clientData/>
  </xdr:twoCellAnchor>
  <xdr:twoCellAnchor>
    <xdr:from>
      <xdr:col>5</xdr:col>
      <xdr:colOff>290945</xdr:colOff>
      <xdr:row>20</xdr:row>
      <xdr:rowOff>208684</xdr:rowOff>
    </xdr:from>
    <xdr:to>
      <xdr:col>5</xdr:col>
      <xdr:colOff>1133475</xdr:colOff>
      <xdr:row>23</xdr:row>
      <xdr:rowOff>122094</xdr:rowOff>
    </xdr:to>
    <xdr:sp macro="" textlink="">
      <xdr:nvSpPr>
        <xdr:cNvPr id="63" name="Rounded Rectangle 68">
          <a:extLst>
            <a:ext uri="{FF2B5EF4-FFF2-40B4-BE49-F238E27FC236}">
              <a16:creationId xmlns:a16="http://schemas.microsoft.com/office/drawing/2014/main" id="{AEE405CE-9987-40D9-AC42-E124E5FAF8FE}"/>
            </a:ext>
            <a:ext uri="{147F2762-F138-4A5C-976F-8EAC2B608ADB}">
              <a16:predDERef xmlns:a16="http://schemas.microsoft.com/office/drawing/2014/main" pred="{0FDFCDD1-8E2E-8846-B670-CB4603F6E756}"/>
            </a:ext>
          </a:extLst>
        </xdr:cNvPr>
        <xdr:cNvSpPr/>
      </xdr:nvSpPr>
      <xdr:spPr>
        <a:xfrm>
          <a:off x="7980218" y="6706466"/>
          <a:ext cx="842530" cy="689264"/>
        </a:xfrm>
        <a:prstGeom prst="roundRect">
          <a:avLst/>
        </a:prstGeom>
        <a:solidFill>
          <a:schemeClr val="bg1"/>
        </a:solidFill>
        <a:ln w="28575">
          <a:solidFill>
            <a:schemeClr val="accent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endParaRPr lang="en-US" sz="1200">
            <a:solidFill>
              <a:schemeClr val="lt1"/>
            </a:solidFill>
            <a:latin typeface="+mn-lt"/>
            <a:ea typeface="+mn-lt"/>
            <a:cs typeface="+mn-lt"/>
          </a:endParaRPr>
        </a:p>
      </xdr:txBody>
    </xdr:sp>
    <xdr:clientData/>
  </xdr:twoCellAnchor>
  <xdr:twoCellAnchor editAs="oneCell">
    <xdr:from>
      <xdr:col>5</xdr:col>
      <xdr:colOff>581025</xdr:colOff>
      <xdr:row>21</xdr:row>
      <xdr:rowOff>38100</xdr:rowOff>
    </xdr:from>
    <xdr:to>
      <xdr:col>5</xdr:col>
      <xdr:colOff>866775</xdr:colOff>
      <xdr:row>23</xdr:row>
      <xdr:rowOff>69850</xdr:rowOff>
    </xdr:to>
    <xdr:pic>
      <xdr:nvPicPr>
        <xdr:cNvPr id="24" name="Picture 8">
          <a:extLst>
            <a:ext uri="{FF2B5EF4-FFF2-40B4-BE49-F238E27FC236}">
              <a16:creationId xmlns:a16="http://schemas.microsoft.com/office/drawing/2014/main" id="{96A5D5B0-FC8B-4794-9419-701AE1AA350C}"/>
            </a:ext>
            <a:ext uri="{147F2762-F138-4A5C-976F-8EAC2B608ADB}">
              <a16:predDERef xmlns:a16="http://schemas.microsoft.com/office/drawing/2014/main" pred="{0687C045-B32E-4E55-8F70-CE9864642032}"/>
            </a:ext>
          </a:extLst>
        </xdr:cNvPr>
        <xdr:cNvPicPr>
          <a:picLocks noChangeAspect="1"/>
        </xdr:cNvPicPr>
      </xdr:nvPicPr>
      <xdr:blipFill>
        <a:blip xmlns:r="http://schemas.openxmlformats.org/officeDocument/2006/relationships" r:embed="rId11"/>
        <a:srcRect r="47874"/>
        <a:stretch/>
      </xdr:blipFill>
      <xdr:spPr>
        <a:xfrm>
          <a:off x="8982075" y="6819900"/>
          <a:ext cx="285750" cy="552450"/>
        </a:xfrm>
        <a:prstGeom prst="rect">
          <a:avLst/>
        </a:prstGeom>
      </xdr:spPr>
    </xdr:pic>
    <xdr:clientData/>
  </xdr:twoCellAnchor>
  <xdr:twoCellAnchor>
    <xdr:from>
      <xdr:col>1</xdr:col>
      <xdr:colOff>190500</xdr:colOff>
      <xdr:row>10</xdr:row>
      <xdr:rowOff>247650</xdr:rowOff>
    </xdr:from>
    <xdr:to>
      <xdr:col>1</xdr:col>
      <xdr:colOff>1533525</xdr:colOff>
      <xdr:row>14</xdr:row>
      <xdr:rowOff>114300</xdr:rowOff>
    </xdr:to>
    <xdr:grpSp>
      <xdr:nvGrpSpPr>
        <xdr:cNvPr id="10" name="Group 9">
          <a:extLst>
            <a:ext uri="{FF2B5EF4-FFF2-40B4-BE49-F238E27FC236}">
              <a16:creationId xmlns:a16="http://schemas.microsoft.com/office/drawing/2014/main" id="{F82048DE-8347-5C28-24DF-A3082B0FC0FD}"/>
            </a:ext>
          </a:extLst>
        </xdr:cNvPr>
        <xdr:cNvGrpSpPr/>
      </xdr:nvGrpSpPr>
      <xdr:grpSpPr>
        <a:xfrm>
          <a:off x="484909" y="3988377"/>
          <a:ext cx="1343025" cy="2325832"/>
          <a:chOff x="476250" y="2552700"/>
          <a:chExt cx="1343025" cy="2343150"/>
        </a:xfrm>
      </xdr:grpSpPr>
      <xdr:sp macro="" textlink="">
        <xdr:nvSpPr>
          <xdr:cNvPr id="11" name="TextBox 10">
            <a:extLst>
              <a:ext uri="{FF2B5EF4-FFF2-40B4-BE49-F238E27FC236}">
                <a16:creationId xmlns:a16="http://schemas.microsoft.com/office/drawing/2014/main" id="{EEA519BD-40BC-345F-5FDD-024D441D73B3}"/>
              </a:ext>
              <a:ext uri="{147F2762-F138-4A5C-976F-8EAC2B608ADB}">
                <a16:predDERef xmlns:a16="http://schemas.microsoft.com/office/drawing/2014/main" pred="{63999527-148D-354E-9282-F0EA8EB32424}"/>
              </a:ext>
            </a:extLst>
          </xdr:cNvPr>
          <xdr:cNvSpPr txBox="1"/>
        </xdr:nvSpPr>
        <xdr:spPr>
          <a:xfrm>
            <a:off x="476250" y="2552700"/>
            <a:ext cx="1343025" cy="2343150"/>
          </a:xfrm>
          <a:prstGeom prst="rect">
            <a:avLst/>
          </a:prstGeom>
          <a:solidFill>
            <a:schemeClr val="lt1"/>
          </a:solidFill>
          <a:ln w="28575" cmpd="sng">
            <a:solidFill>
              <a:srgbClr val="0070C0"/>
            </a:solidFill>
          </a:ln>
        </xdr:spPr>
        <xdr:txBody>
          <a:bodyPr spcFirstLastPara="0" vertOverflow="clip" horzOverflow="clip" wrap="square" lIns="91440" tIns="45720" rIns="91440" bIns="45720" rtlCol="0" anchor="ctr">
            <a:noAutofit/>
          </a:bodyPr>
          <a:lstStyle/>
          <a:p>
            <a:pPr marL="0" indent="0" algn="ctr"/>
            <a:endParaRPr lang="en-US" sz="1400" b="1" i="0" u="sng" strike="noStrike">
              <a:solidFill>
                <a:srgbClr val="000000"/>
              </a:solidFill>
              <a:latin typeface="Arial" panose="020B0604020202020204" pitchFamily="34" charset="0"/>
              <a:cs typeface="Arial" panose="020B0604020202020204" pitchFamily="34" charset="0"/>
            </a:endParaRPr>
          </a:p>
          <a:p>
            <a:pPr marL="0" indent="0" algn="ctr"/>
            <a:endParaRPr lang="en-US" sz="1400" b="1" i="0" u="sng" strike="noStrike">
              <a:solidFill>
                <a:srgbClr val="000000"/>
              </a:solidFill>
              <a:latin typeface="Arial" panose="020B0604020202020204" pitchFamily="34" charset="0"/>
              <a:cs typeface="Arial" panose="020B0604020202020204" pitchFamily="34" charset="0"/>
            </a:endParaRPr>
          </a:p>
          <a:p>
            <a:pPr marL="0" indent="0" algn="ctr"/>
            <a:endParaRPr lang="en-US" sz="1400" b="1" i="0" u="sng" strike="noStrike">
              <a:solidFill>
                <a:srgbClr val="000000"/>
              </a:solidFill>
              <a:latin typeface="Arial" panose="020B0604020202020204" pitchFamily="34" charset="0"/>
              <a:cs typeface="Arial" panose="020B0604020202020204" pitchFamily="34" charset="0"/>
            </a:endParaRPr>
          </a:p>
          <a:p>
            <a:pPr marL="0" indent="0" algn="ctr"/>
            <a:endParaRPr lang="en-US" sz="1400" b="1" i="0" u="sng" strike="noStrike">
              <a:solidFill>
                <a:srgbClr val="000000"/>
              </a:solidFill>
              <a:latin typeface="Arial" panose="020B0604020202020204" pitchFamily="34" charset="0"/>
              <a:cs typeface="Arial" panose="020B0604020202020204" pitchFamily="34" charset="0"/>
            </a:endParaRPr>
          </a:p>
          <a:p>
            <a:pPr marL="0" indent="0" algn="ctr"/>
            <a:r>
              <a:rPr lang="en-US" sz="1400" b="1" i="0" u="sng" strike="noStrike">
                <a:solidFill>
                  <a:srgbClr val="000000"/>
                </a:solidFill>
                <a:latin typeface="Arial" panose="020B0604020202020204" pitchFamily="34" charset="0"/>
                <a:cs typeface="Arial" panose="020B0604020202020204" pitchFamily="34" charset="0"/>
              </a:rPr>
              <a:t>SCENARIOS</a:t>
            </a:r>
            <a:endParaRPr lang="en-US" sz="1200" b="0" i="0" u="none" strike="noStrike">
              <a:solidFill>
                <a:srgbClr val="000000"/>
              </a:solidFill>
              <a:latin typeface="Arial" panose="020B0604020202020204" pitchFamily="34" charset="0"/>
              <a:cs typeface="Arial" panose="020B0604020202020204" pitchFamily="34" charset="0"/>
            </a:endParaRPr>
          </a:p>
          <a:p>
            <a:pPr marL="0" indent="0" algn="l"/>
            <a:endParaRPr lang="en-US" sz="1200" b="0" i="0" u="none" strike="noStrike">
              <a:solidFill>
                <a:srgbClr val="000000"/>
              </a:solidFill>
              <a:latin typeface="Arial" panose="020B0604020202020204" pitchFamily="34" charset="0"/>
              <a:cs typeface="Arial" panose="020B0604020202020204" pitchFamily="34" charset="0"/>
            </a:endParaRPr>
          </a:p>
          <a:p>
            <a:pPr marL="0" indent="0" algn="ctr"/>
            <a:r>
              <a:rPr lang="en-US" sz="1200" b="0" i="0" u="none" strike="noStrike">
                <a:solidFill>
                  <a:srgbClr val="000000"/>
                </a:solidFill>
                <a:latin typeface="Arial" panose="020B0604020202020204" pitchFamily="34" charset="0"/>
                <a:cs typeface="Arial" panose="020B0604020202020204" pitchFamily="34" charset="0"/>
              </a:rPr>
              <a:t>A map and a description of each Scenario is included in the 'QUESTION' sheet</a:t>
            </a:r>
          </a:p>
        </xdr:txBody>
      </xdr:sp>
      <xdr:pic>
        <xdr:nvPicPr>
          <xdr:cNvPr id="9" name="Picture 8">
            <a:extLst>
              <a:ext uri="{FF2B5EF4-FFF2-40B4-BE49-F238E27FC236}">
                <a16:creationId xmlns:a16="http://schemas.microsoft.com/office/drawing/2014/main" id="{8499F366-0D92-4562-AC82-02B304239778}"/>
              </a:ext>
              <a:ext uri="{147F2762-F138-4A5C-976F-8EAC2B608ADB}">
                <a16:predDERef xmlns:a16="http://schemas.microsoft.com/office/drawing/2014/main" pred="{CD56B304-2DAE-4835-B661-0A5F734ED78E}"/>
              </a:ext>
            </a:extLst>
          </xdr:cNvPr>
          <xdr:cNvPicPr>
            <a:picLocks noChangeAspect="1"/>
          </xdr:cNvPicPr>
        </xdr:nvPicPr>
        <xdr:blipFill>
          <a:blip xmlns:r="http://schemas.openxmlformats.org/officeDocument/2006/relationships" r:embed="rId19"/>
          <a:stretch>
            <a:fillRect/>
          </a:stretch>
        </xdr:blipFill>
        <xdr:spPr>
          <a:xfrm>
            <a:off x="685800" y="2628900"/>
            <a:ext cx="869731" cy="867093"/>
          </a:xfrm>
          <a:prstGeom prst="rect">
            <a:avLst/>
          </a:prstGeom>
        </xdr:spPr>
      </xdr:pic>
    </xdr:grpSp>
    <xdr:clientData/>
  </xdr:twoCellAnchor>
  <xdr:twoCellAnchor>
    <xdr:from>
      <xdr:col>0</xdr:col>
      <xdr:colOff>134470</xdr:colOff>
      <xdr:row>0</xdr:row>
      <xdr:rowOff>179295</xdr:rowOff>
    </xdr:from>
    <xdr:to>
      <xdr:col>2</xdr:col>
      <xdr:colOff>1485339</xdr:colOff>
      <xdr:row>3</xdr:row>
      <xdr:rowOff>191061</xdr:rowOff>
    </xdr:to>
    <xdr:pic>
      <xdr:nvPicPr>
        <xdr:cNvPr id="12" name="Picture 11">
          <a:extLst>
            <a:ext uri="{FF2B5EF4-FFF2-40B4-BE49-F238E27FC236}">
              <a16:creationId xmlns:a16="http://schemas.microsoft.com/office/drawing/2014/main" id="{DC745AB3-DD44-405B-B381-8D2360AB32EF}"/>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34470" y="179295"/>
          <a:ext cx="3267075" cy="885825"/>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156883</xdr:colOff>
      <xdr:row>0</xdr:row>
      <xdr:rowOff>168088</xdr:rowOff>
    </xdr:from>
    <xdr:to>
      <xdr:col>3</xdr:col>
      <xdr:colOff>1137958</xdr:colOff>
      <xdr:row>3</xdr:row>
      <xdr:rowOff>179854</xdr:rowOff>
    </xdr:to>
    <xdr:pic>
      <xdr:nvPicPr>
        <xdr:cNvPr id="3" name="Picture 2">
          <a:extLst>
            <a:ext uri="{FF2B5EF4-FFF2-40B4-BE49-F238E27FC236}">
              <a16:creationId xmlns:a16="http://schemas.microsoft.com/office/drawing/2014/main" id="{A36E6D64-2959-4AF6-BBB9-964A0285EC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83" y="168088"/>
          <a:ext cx="3267075" cy="885825"/>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212911</xdr:colOff>
      <xdr:row>0</xdr:row>
      <xdr:rowOff>212912</xdr:rowOff>
    </xdr:from>
    <xdr:to>
      <xdr:col>1</xdr:col>
      <xdr:colOff>2919692</xdr:colOff>
      <xdr:row>3</xdr:row>
      <xdr:rowOff>224678</xdr:rowOff>
    </xdr:to>
    <xdr:pic>
      <xdr:nvPicPr>
        <xdr:cNvPr id="2" name="Picture 1">
          <a:extLst>
            <a:ext uri="{FF2B5EF4-FFF2-40B4-BE49-F238E27FC236}">
              <a16:creationId xmlns:a16="http://schemas.microsoft.com/office/drawing/2014/main" id="{8F17FC9A-B4EF-4B4C-A39A-B80784EF7F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911" y="212912"/>
          <a:ext cx="3267075" cy="885825"/>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257735</xdr:colOff>
      <xdr:row>0</xdr:row>
      <xdr:rowOff>179294</xdr:rowOff>
    </xdr:from>
    <xdr:to>
      <xdr:col>2</xdr:col>
      <xdr:colOff>163045</xdr:colOff>
      <xdr:row>3</xdr:row>
      <xdr:rowOff>191060</xdr:rowOff>
    </xdr:to>
    <xdr:pic>
      <xdr:nvPicPr>
        <xdr:cNvPr id="2" name="Picture 1">
          <a:extLst>
            <a:ext uri="{FF2B5EF4-FFF2-40B4-BE49-F238E27FC236}">
              <a16:creationId xmlns:a16="http://schemas.microsoft.com/office/drawing/2014/main" id="{F86F2BC0-D07E-4A45-9B03-E37D15186D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735" y="179294"/>
          <a:ext cx="3267075" cy="885825"/>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246529</xdr:colOff>
      <xdr:row>0</xdr:row>
      <xdr:rowOff>179295</xdr:rowOff>
    </xdr:from>
    <xdr:to>
      <xdr:col>2</xdr:col>
      <xdr:colOff>801780</xdr:colOff>
      <xdr:row>3</xdr:row>
      <xdr:rowOff>191061</xdr:rowOff>
    </xdr:to>
    <xdr:pic>
      <xdr:nvPicPr>
        <xdr:cNvPr id="2" name="Picture 1">
          <a:extLst>
            <a:ext uri="{FF2B5EF4-FFF2-40B4-BE49-F238E27FC236}">
              <a16:creationId xmlns:a16="http://schemas.microsoft.com/office/drawing/2014/main" id="{912F6B63-B8A1-4510-B766-BBB896766E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29" y="179295"/>
          <a:ext cx="3267075" cy="885825"/>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112059</xdr:colOff>
      <xdr:row>0</xdr:row>
      <xdr:rowOff>190501</xdr:rowOff>
    </xdr:from>
    <xdr:to>
      <xdr:col>2</xdr:col>
      <xdr:colOff>1944781</xdr:colOff>
      <xdr:row>3</xdr:row>
      <xdr:rowOff>202267</xdr:rowOff>
    </xdr:to>
    <xdr:pic>
      <xdr:nvPicPr>
        <xdr:cNvPr id="2" name="Picture 1">
          <a:extLst>
            <a:ext uri="{FF2B5EF4-FFF2-40B4-BE49-F238E27FC236}">
              <a16:creationId xmlns:a16="http://schemas.microsoft.com/office/drawing/2014/main" id="{532D9218-02E1-4C5E-8FDB-70F545AB78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59" y="190501"/>
          <a:ext cx="3267075" cy="885825"/>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5AE0F-42A0-4A45-BBA7-734D94A7A4FF}">
  <dimension ref="A1:CB69"/>
  <sheetViews>
    <sheetView tabSelected="1" zoomScale="85" zoomScaleNormal="85" workbookViewId="0">
      <selection activeCell="K7" sqref="K7"/>
    </sheetView>
  </sheetViews>
  <sheetFormatPr defaultRowHeight="14.25"/>
  <cols>
    <col min="1" max="1" width="9.140625" style="11"/>
    <col min="2" max="2" width="15.140625" style="11" customWidth="1"/>
    <col min="3" max="3" width="22.7109375" style="11" customWidth="1"/>
    <col min="4" max="4" width="22" style="11" customWidth="1"/>
    <col min="5" max="16384" width="9.140625" style="11"/>
  </cols>
  <sheetData>
    <row r="1" spans="1:80" s="258" customFormat="1" ht="22.9" customHeight="1">
      <c r="B1" s="259"/>
    </row>
    <row r="2" spans="1:80" s="258" customFormat="1" ht="22.9" customHeight="1">
      <c r="B2" s="259"/>
      <c r="C2" s="326" t="s">
        <v>369</v>
      </c>
      <c r="D2" s="260"/>
    </row>
    <row r="3" spans="1:80" s="258" customFormat="1" ht="22.9" customHeight="1">
      <c r="B3" s="259"/>
      <c r="C3" s="326" t="s">
        <v>381</v>
      </c>
      <c r="D3" s="260"/>
    </row>
    <row r="4" spans="1:80" s="258" customFormat="1" ht="22.9" customHeight="1">
      <c r="B4" s="259"/>
      <c r="C4" s="261"/>
    </row>
    <row r="5" spans="1:80" s="132" customFormat="1" ht="27" customHeight="1" thickBot="1">
      <c r="A5" s="333" t="s">
        <v>380</v>
      </c>
      <c r="B5" s="334"/>
      <c r="C5" s="334"/>
      <c r="D5" s="334"/>
      <c r="E5" s="334"/>
      <c r="F5" s="334"/>
    </row>
    <row r="6" spans="1:80" s="335" customFormat="1" ht="15" customHeight="1">
      <c r="A6" s="132"/>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row>
    <row r="7" spans="1:80" s="335" customFormat="1" ht="126.75" customHeight="1">
      <c r="A7" s="132"/>
      <c r="B7" s="533" t="s">
        <v>416</v>
      </c>
      <c r="C7" s="533"/>
      <c r="D7" s="533"/>
      <c r="E7" s="533"/>
      <c r="F7" s="533"/>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row>
    <row r="8" spans="1:80" s="335" customFormat="1" ht="126.75" customHeight="1">
      <c r="A8" s="132"/>
      <c r="B8" s="533"/>
      <c r="C8" s="533"/>
      <c r="D8" s="533"/>
      <c r="E8" s="533"/>
      <c r="F8" s="533"/>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row>
    <row r="9" spans="1:80" s="335" customFormat="1" ht="126.75" customHeight="1">
      <c r="A9" s="132"/>
      <c r="B9" s="533"/>
      <c r="C9" s="533"/>
      <c r="D9" s="533"/>
      <c r="E9" s="533"/>
      <c r="F9" s="533"/>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row>
    <row r="10" spans="1:80" s="132" customFormat="1" ht="27" customHeight="1" thickBot="1">
      <c r="A10" s="333" t="s">
        <v>389</v>
      </c>
      <c r="B10" s="334"/>
      <c r="C10" s="334"/>
      <c r="D10" s="334"/>
      <c r="E10" s="334"/>
      <c r="F10" s="334"/>
    </row>
    <row r="12" spans="1:80" s="336" customFormat="1" ht="12.75">
      <c r="B12" s="345" t="s">
        <v>393</v>
      </c>
      <c r="C12" s="336" t="s">
        <v>390</v>
      </c>
    </row>
    <row r="13" spans="1:80" s="336" customFormat="1" ht="12.75">
      <c r="B13" s="355"/>
      <c r="C13" s="336" t="s">
        <v>391</v>
      </c>
    </row>
    <row r="14" spans="1:80" s="336" customFormat="1" ht="12.75">
      <c r="B14" s="338"/>
      <c r="C14" s="336" t="s">
        <v>392</v>
      </c>
    </row>
    <row r="15" spans="1:80" s="336" customFormat="1" ht="12.75">
      <c r="B15" s="337"/>
      <c r="C15" s="336" t="s">
        <v>398</v>
      </c>
    </row>
    <row r="16" spans="1:80" s="336" customFormat="1" ht="12.75"/>
    <row r="17" spans="2:6" s="336" customFormat="1" ht="18.75" customHeight="1">
      <c r="B17" s="529" t="s">
        <v>399</v>
      </c>
    </row>
    <row r="18" spans="2:6" s="336" customFormat="1" ht="12.75" customHeight="1">
      <c r="B18" s="765" t="s">
        <v>402</v>
      </c>
      <c r="C18" s="765"/>
      <c r="D18" s="765"/>
      <c r="E18" s="765"/>
      <c r="F18" s="765"/>
    </row>
    <row r="19" spans="2:6" s="336" customFormat="1" ht="12.75" customHeight="1"/>
    <row r="20" spans="2:6" s="336" customFormat="1" ht="12.75" customHeight="1"/>
    <row r="21" spans="2:6" s="336" customFormat="1" ht="12.75" customHeight="1"/>
    <row r="22" spans="2:6" s="336" customFormat="1" ht="12.75" customHeight="1">
      <c r="B22" s="765" t="s">
        <v>400</v>
      </c>
      <c r="C22" s="765"/>
      <c r="D22" s="765"/>
      <c r="E22" s="765"/>
      <c r="F22" s="765"/>
    </row>
    <row r="23" spans="2:6" s="336" customFormat="1" ht="12.75" customHeight="1">
      <c r="B23" s="530"/>
    </row>
    <row r="24" spans="2:6" s="336" customFormat="1" ht="12.75" customHeight="1">
      <c r="B24" s="530"/>
    </row>
    <row r="25" spans="2:6" s="336" customFormat="1" ht="12.75" customHeight="1">
      <c r="B25" s="530"/>
    </row>
    <row r="26" spans="2:6" s="336" customFormat="1" ht="12.75" customHeight="1">
      <c r="B26" s="765" t="s">
        <v>403</v>
      </c>
      <c r="C26" s="765"/>
      <c r="D26" s="765"/>
      <c r="E26" s="765"/>
      <c r="F26" s="765"/>
    </row>
    <row r="27" spans="2:6" s="336" customFormat="1" ht="12.75" customHeight="1">
      <c r="B27" s="530"/>
    </row>
    <row r="28" spans="2:6" s="336" customFormat="1" ht="12.75" customHeight="1">
      <c r="B28" s="530"/>
    </row>
    <row r="29" spans="2:6" s="336" customFormat="1" ht="12.75" customHeight="1">
      <c r="B29" s="530"/>
    </row>
    <row r="30" spans="2:6" s="336" customFormat="1" ht="12.75" customHeight="1">
      <c r="B30" s="765" t="s">
        <v>401</v>
      </c>
      <c r="C30" s="765"/>
      <c r="D30" s="765"/>
      <c r="E30" s="765"/>
      <c r="F30" s="765"/>
    </row>
    <row r="31" spans="2:6" s="336" customFormat="1" ht="12.75" customHeight="1">
      <c r="B31" s="530"/>
    </row>
    <row r="32" spans="2:6" s="336" customFormat="1" ht="12.75" customHeight="1">
      <c r="B32" s="530"/>
    </row>
    <row r="33" spans="2:6" s="336" customFormat="1" ht="12.75" customHeight="1">
      <c r="B33" s="530"/>
    </row>
    <row r="34" spans="2:6" s="336" customFormat="1" ht="12.75" customHeight="1"/>
    <row r="35" spans="2:6" s="336" customFormat="1" ht="12.75" customHeight="1">
      <c r="B35" s="529" t="s">
        <v>404</v>
      </c>
    </row>
    <row r="36" spans="2:6" s="336" customFormat="1" ht="12.75" customHeight="1">
      <c r="B36" s="529"/>
    </row>
    <row r="37" spans="2:6" s="336" customFormat="1" ht="12.75" customHeight="1">
      <c r="B37" s="769" t="s">
        <v>414</v>
      </c>
      <c r="C37" s="769"/>
      <c r="D37" s="769"/>
      <c r="E37" s="769"/>
      <c r="F37" s="769"/>
    </row>
    <row r="39" spans="2:6" ht="34.5" customHeight="1">
      <c r="B39" s="766" t="s">
        <v>415</v>
      </c>
      <c r="C39" s="766"/>
      <c r="D39" s="766"/>
      <c r="E39" s="766"/>
      <c r="F39" s="766"/>
    </row>
    <row r="40" spans="2:6" ht="21.75" customHeight="1">
      <c r="B40" s="766" t="s">
        <v>407</v>
      </c>
      <c r="C40" s="766"/>
      <c r="D40" s="766"/>
      <c r="E40" s="766"/>
      <c r="F40" s="766"/>
    </row>
    <row r="41" spans="2:6" ht="19.5" customHeight="1">
      <c r="B41" s="766" t="s">
        <v>408</v>
      </c>
      <c r="C41" s="766"/>
      <c r="D41" s="766"/>
      <c r="E41" s="766"/>
      <c r="F41" s="766"/>
    </row>
    <row r="42" spans="2:6" ht="30.75" customHeight="1">
      <c r="B42" s="766" t="s">
        <v>409</v>
      </c>
      <c r="C42" s="766"/>
      <c r="D42" s="766"/>
      <c r="E42" s="766"/>
      <c r="F42" s="766"/>
    </row>
    <row r="43" spans="2:6">
      <c r="B43" s="532"/>
    </row>
    <row r="44" spans="2:6">
      <c r="B44" s="532"/>
    </row>
    <row r="45" spans="2:6">
      <c r="B45" s="532"/>
    </row>
    <row r="46" spans="2:6">
      <c r="B46" s="532"/>
    </row>
    <row r="47" spans="2:6">
      <c r="B47" s="532"/>
    </row>
    <row r="48" spans="2:6">
      <c r="B48" s="532"/>
    </row>
    <row r="49" spans="2:6">
      <c r="B49" s="532"/>
    </row>
    <row r="50" spans="2:6">
      <c r="B50" s="532"/>
    </row>
    <row r="60" spans="2:6">
      <c r="B60" s="767" t="s">
        <v>410</v>
      </c>
      <c r="C60" s="767"/>
      <c r="D60" s="767"/>
      <c r="E60" s="767"/>
      <c r="F60" s="767"/>
    </row>
    <row r="61" spans="2:6">
      <c r="B61" s="531"/>
    </row>
    <row r="62" spans="2:6" ht="26.25" customHeight="1">
      <c r="B62" s="766" t="s">
        <v>405</v>
      </c>
      <c r="C62" s="766"/>
      <c r="D62" s="766"/>
      <c r="E62" s="766"/>
      <c r="F62" s="766"/>
    </row>
    <row r="63" spans="2:6" ht="18.75" customHeight="1">
      <c r="B63" s="766" t="s">
        <v>406</v>
      </c>
      <c r="C63" s="766"/>
      <c r="D63" s="766"/>
      <c r="E63" s="766"/>
      <c r="F63" s="766"/>
    </row>
    <row r="65" spans="2:6">
      <c r="B65" s="768" t="s">
        <v>411</v>
      </c>
      <c r="C65" s="768"/>
      <c r="D65" s="768"/>
      <c r="E65" s="768"/>
      <c r="F65" s="768"/>
    </row>
    <row r="67" spans="2:6">
      <c r="B67" s="767" t="s">
        <v>413</v>
      </c>
      <c r="C67" s="767"/>
      <c r="D67" s="767"/>
      <c r="E67" s="767"/>
      <c r="F67" s="767"/>
    </row>
    <row r="68" spans="2:6">
      <c r="B68" s="531"/>
    </row>
    <row r="69" spans="2:6" ht="45" customHeight="1">
      <c r="B69" s="766" t="s">
        <v>412</v>
      </c>
      <c r="C69" s="766"/>
      <c r="D69" s="766"/>
      <c r="E69" s="766"/>
      <c r="F69" s="766"/>
    </row>
  </sheetData>
  <mergeCells count="16">
    <mergeCell ref="B67:F67"/>
    <mergeCell ref="B69:F69"/>
    <mergeCell ref="B42:F42"/>
    <mergeCell ref="B60:F60"/>
    <mergeCell ref="B62:F62"/>
    <mergeCell ref="B63:F63"/>
    <mergeCell ref="B65:F65"/>
    <mergeCell ref="B30:F30"/>
    <mergeCell ref="B37:F37"/>
    <mergeCell ref="B39:F39"/>
    <mergeCell ref="B40:F40"/>
    <mergeCell ref="B41:F41"/>
    <mergeCell ref="B7:F9"/>
    <mergeCell ref="B18:F18"/>
    <mergeCell ref="B22:F22"/>
    <mergeCell ref="B26:F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2DC84-FEE2-490D-B3EF-92A3C6BC25AF}">
  <sheetPr>
    <tabColor rgb="FFFFC000"/>
  </sheetPr>
  <dimension ref="B1:K84"/>
  <sheetViews>
    <sheetView topLeftCell="A56" zoomScale="85" zoomScaleNormal="85" workbookViewId="0">
      <selection activeCell="R76" sqref="N71:R76"/>
    </sheetView>
  </sheetViews>
  <sheetFormatPr defaultColWidth="10.7109375" defaultRowHeight="16.5" customHeight="1"/>
  <cols>
    <col min="1" max="1" width="10.7109375" style="11"/>
    <col min="2" max="2" width="18.7109375" style="11" customWidth="1"/>
    <col min="3" max="3" width="46.28515625" style="11" customWidth="1"/>
    <col min="4" max="4" width="36" style="11" customWidth="1"/>
    <col min="5" max="6" width="38.42578125" style="11" customWidth="1"/>
    <col min="7" max="7" width="35.42578125" style="11" customWidth="1"/>
    <col min="8" max="8" width="35.7109375" style="11" customWidth="1"/>
    <col min="9" max="9" width="10.7109375" style="11"/>
    <col min="10" max="10" width="38.28515625" style="11" customWidth="1"/>
    <col min="11" max="11" width="18.42578125" style="11" customWidth="1"/>
    <col min="12" max="16384" width="10.7109375" style="11"/>
  </cols>
  <sheetData>
    <row r="1" spans="2:9" s="258" customFormat="1" ht="22.9" customHeight="1">
      <c r="B1" s="259"/>
    </row>
    <row r="2" spans="2:9" s="258" customFormat="1" ht="22.9" customHeight="1">
      <c r="B2" s="259"/>
      <c r="C2" s="324" t="s">
        <v>369</v>
      </c>
      <c r="D2" s="260"/>
    </row>
    <row r="3" spans="2:9" s="258" customFormat="1" ht="22.9" customHeight="1">
      <c r="B3" s="259"/>
      <c r="C3" s="324" t="s">
        <v>381</v>
      </c>
      <c r="D3" s="260"/>
    </row>
    <row r="4" spans="2:9" s="258" customFormat="1" ht="22.9" customHeight="1">
      <c r="B4" s="259"/>
      <c r="C4" s="261"/>
    </row>
    <row r="5" spans="2:9" s="68" customFormat="1" ht="18" customHeight="1">
      <c r="B5" s="69"/>
      <c r="C5" s="70"/>
    </row>
    <row r="10" spans="2:9" ht="16.5" customHeight="1">
      <c r="C10" s="696" t="s">
        <v>184</v>
      </c>
      <c r="D10" s="697"/>
      <c r="E10" s="169">
        <f>Dashboard!D12</f>
        <v>2</v>
      </c>
      <c r="G10" s="219" t="s">
        <v>219</v>
      </c>
      <c r="H10" s="220" t="str">
        <f>Dashboard!D19</f>
        <v>YES</v>
      </c>
    </row>
    <row r="12" spans="2:9" ht="16.5" customHeight="1">
      <c r="C12" s="18"/>
      <c r="D12" s="727"/>
      <c r="E12" s="727"/>
    </row>
    <row r="13" spans="2:9" ht="16.5" customHeight="1">
      <c r="C13" s="139" t="s">
        <v>220</v>
      </c>
      <c r="D13" s="728">
        <f>VLOOKUP(Dashboard!D19,'INITIAL INVESTMENT'!C41:D42,2,FALSE)</f>
        <v>287748</v>
      </c>
      <c r="E13" s="728"/>
    </row>
    <row r="14" spans="2:9" ht="16.5" customHeight="1">
      <c r="C14" s="221" t="s">
        <v>221</v>
      </c>
      <c r="D14" s="729">
        <f>VLOOKUP(Dashboard!D12,'INITIAL INVESTMENT'!C34:D39,2,FALSE)</f>
        <v>145527852.37664893</v>
      </c>
      <c r="E14" s="730"/>
    </row>
    <row r="15" spans="2:9" ht="16.5" customHeight="1">
      <c r="C15" s="222" t="s">
        <v>113</v>
      </c>
      <c r="D15" s="731">
        <f>SUM(D12:E14)</f>
        <v>145815600.37664893</v>
      </c>
      <c r="E15" s="732"/>
      <c r="G15" s="151" t="s">
        <v>222</v>
      </c>
      <c r="H15" s="223">
        <f>D15/5</f>
        <v>29163120.075329788</v>
      </c>
      <c r="I15" s="207"/>
    </row>
    <row r="17" spans="3:11" ht="16.5" customHeight="1">
      <c r="C17" s="606" t="s">
        <v>223</v>
      </c>
      <c r="D17" s="606"/>
      <c r="E17" s="606"/>
      <c r="F17" s="606"/>
      <c r="G17" s="606"/>
      <c r="H17" s="606"/>
    </row>
    <row r="18" spans="3:11" ht="16.5" customHeight="1">
      <c r="C18" s="151" t="s">
        <v>224</v>
      </c>
      <c r="D18" s="411" t="s">
        <v>11</v>
      </c>
      <c r="E18" s="411" t="s">
        <v>12</v>
      </c>
      <c r="F18" s="411" t="s">
        <v>13</v>
      </c>
      <c r="G18" s="411" t="s">
        <v>14</v>
      </c>
      <c r="H18" s="411" t="s">
        <v>15</v>
      </c>
    </row>
    <row r="19" spans="3:11" ht="16.5" customHeight="1">
      <c r="C19" s="224"/>
      <c r="D19" s="225"/>
      <c r="E19" s="225"/>
      <c r="F19" s="225"/>
      <c r="G19" s="225"/>
      <c r="H19" s="225"/>
    </row>
    <row r="20" spans="3:11" ht="16.5" customHeight="1">
      <c r="C20" s="226" t="s">
        <v>44</v>
      </c>
      <c r="D20" s="227">
        <f>VLOOKUP(Dashboard!$D$19,'HANDLING COSTS'!$I$58:$N$59,2,FALSE)</f>
        <v>964210.82460577693</v>
      </c>
      <c r="E20" s="227">
        <f>VLOOKUP(Dashboard!$D$19,'HANDLING COSTS'!$I$58:$N$59,3,FALSE)</f>
        <v>1028900.5160367404</v>
      </c>
      <c r="F20" s="227">
        <f>VLOOKUP(Dashboard!$D$19,'HANDLING COSTS'!$I$58:$N$59,4,FALSE)</f>
        <v>1137172.8368617669</v>
      </c>
      <c r="G20" s="227">
        <f>VLOOKUP(Dashboard!$D$19,'HANDLING COSTS'!$I$58:$N$59,5,FALSE)</f>
        <v>1251507.9922914701</v>
      </c>
      <c r="H20" s="227">
        <f>VLOOKUP(Dashboard!$D$19,'HANDLING COSTS'!$I$58:$N$59,6,FALSE)</f>
        <v>1380862.5123971903</v>
      </c>
    </row>
    <row r="21" spans="3:11" ht="16.5" customHeight="1">
      <c r="C21" s="226" t="s">
        <v>225</v>
      </c>
      <c r="D21" s="227">
        <f>VLOOKUP(Dashboard!$D$12,'HANDLING COSTS'!$I$63:$N$65,2,FALSE)</f>
        <v>550471.650381963</v>
      </c>
      <c r="E21" s="227">
        <f>VLOOKUP(Dashboard!$D$12,'HANDLING COSTS'!$I$63:$N$65,3,FALSE)</f>
        <v>577995.23290106107</v>
      </c>
      <c r="F21" s="227">
        <f>VLOOKUP(Dashboard!$D$12,'HANDLING COSTS'!$I$63:$N$65,4,FALSE)</f>
        <v>606894.99454611423</v>
      </c>
      <c r="G21" s="227">
        <f>VLOOKUP(Dashboard!$D$12,'HANDLING COSTS'!$I$63:$N$65,5,FALSE)</f>
        <v>637239.74427342007</v>
      </c>
      <c r="H21" s="227">
        <f>VLOOKUP(Dashboard!$D$12,'HANDLING COSTS'!$I$63:$N$65,6,FALSE)</f>
        <v>669101.73148709105</v>
      </c>
    </row>
    <row r="22" spans="3:11" ht="16.5" customHeight="1">
      <c r="C22" s="228" t="s">
        <v>226</v>
      </c>
      <c r="D22" s="229">
        <f>D20+D21</f>
        <v>1514682.4749877399</v>
      </c>
      <c r="E22" s="229">
        <f t="shared" ref="E22:H22" si="0">E20+E21</f>
        <v>1606895.7489378015</v>
      </c>
      <c r="F22" s="229">
        <f t="shared" si="0"/>
        <v>1744067.8314078811</v>
      </c>
      <c r="G22" s="229">
        <f t="shared" si="0"/>
        <v>1888747.73656489</v>
      </c>
      <c r="H22" s="229">
        <f t="shared" si="0"/>
        <v>2049964.2438842813</v>
      </c>
    </row>
    <row r="23" spans="3:11" ht="16.5" customHeight="1" thickBot="1"/>
    <row r="24" spans="3:11" ht="16.5" customHeight="1" thickBot="1">
      <c r="C24" s="606" t="s">
        <v>227</v>
      </c>
      <c r="D24" s="606"/>
      <c r="E24" s="606"/>
      <c r="F24" s="606"/>
      <c r="G24" s="606"/>
      <c r="H24" s="606"/>
      <c r="J24" s="230" t="s">
        <v>228</v>
      </c>
      <c r="K24" s="231">
        <f>Dashboard!I12+(Dashboard!I12*0.01)</f>
        <v>0.30299999999999999</v>
      </c>
    </row>
    <row r="25" spans="3:11" ht="16.5" customHeight="1">
      <c r="C25" s="151" t="s">
        <v>229</v>
      </c>
      <c r="D25" s="411" t="s">
        <v>11</v>
      </c>
      <c r="E25" s="411" t="s">
        <v>12</v>
      </c>
      <c r="F25" s="411" t="s">
        <v>13</v>
      </c>
      <c r="G25" s="411" t="s">
        <v>14</v>
      </c>
      <c r="H25" s="411" t="s">
        <v>15</v>
      </c>
    </row>
    <row r="26" spans="3:11" ht="16.5" customHeight="1">
      <c r="C26" s="209" t="s">
        <v>23</v>
      </c>
      <c r="D26" s="227">
        <f>'INITIAL DATA'!D46*$K$24</f>
        <v>2002096.2563507564</v>
      </c>
      <c r="E26" s="227">
        <f>'INITIAL DATA'!H46*$K$24</f>
        <v>1678182.0590075224</v>
      </c>
      <c r="F26" s="227">
        <f>'INITIAL DATA'!L46*$K$24</f>
        <v>1630341.7794155229</v>
      </c>
      <c r="G26" s="227">
        <f>'INITIAL DATA'!P46*$K$24</f>
        <v>1680802.9553480514</v>
      </c>
      <c r="H26" s="227">
        <f>'INITIAL DATA'!T46*$K$24</f>
        <v>1776854.3032097002</v>
      </c>
    </row>
    <row r="27" spans="3:11" ht="16.5" customHeight="1">
      <c r="C27" s="211" t="s">
        <v>24</v>
      </c>
      <c r="D27" s="227">
        <f>'INITIAL DATA'!D47*$K$24</f>
        <v>594138.49336375843</v>
      </c>
      <c r="E27" s="227">
        <f>'INITIAL DATA'!H47*$K$24</f>
        <v>498014.29724772286</v>
      </c>
      <c r="F27" s="227">
        <f>'INITIAL DATA'!L47*$K$24</f>
        <v>483817.30169931694</v>
      </c>
      <c r="G27" s="227">
        <f>'INITIAL DATA'!P47*$K$24</f>
        <v>498792.06974396779</v>
      </c>
      <c r="H27" s="227">
        <f>'INITIAL DATA'!T47*$K$24</f>
        <v>527296.09542358003</v>
      </c>
    </row>
    <row r="28" spans="3:11" ht="16.5" customHeight="1">
      <c r="C28" s="234" t="s">
        <v>62</v>
      </c>
      <c r="D28" s="227">
        <f>'INITIAL DATA'!D48*$K$24</f>
        <v>21630415.208042037</v>
      </c>
      <c r="E28" s="227">
        <f>'INITIAL DATA'!H48*$K$24</f>
        <v>16787855.440070014</v>
      </c>
      <c r="F28" s="227">
        <f>'INITIAL DATA'!L48*$K$24</f>
        <v>14530086.359360514</v>
      </c>
      <c r="G28" s="227">
        <f>'INITIAL DATA'!P48*$K$24</f>
        <v>13592791.670691958</v>
      </c>
      <c r="H28" s="227">
        <f>'INITIAL DATA'!T48*$K$24</f>
        <v>12892321.630001206</v>
      </c>
    </row>
    <row r="29" spans="3:11" ht="16.5" customHeight="1">
      <c r="C29" s="416" t="s">
        <v>27</v>
      </c>
      <c r="D29" s="227">
        <f>'INITIAL DATA'!D49*$K$24</f>
        <v>1797770.5488456863</v>
      </c>
      <c r="E29" s="227">
        <f>'INITIAL DATA'!H49*$K$24</f>
        <v>1506913.7019336082</v>
      </c>
      <c r="F29" s="227">
        <f>'INITIAL DATA'!L49*$K$24</f>
        <v>1463955.8044667777</v>
      </c>
      <c r="G29" s="227">
        <f>'INITIAL DATA'!P49*$K$24</f>
        <v>1509267.1203757208</v>
      </c>
      <c r="H29" s="227">
        <f>'INITIAL DATA'!T49*$K$24</f>
        <v>1565693.1364121255</v>
      </c>
    </row>
    <row r="30" spans="3:11" ht="16.5" customHeight="1">
      <c r="C30" s="243"/>
      <c r="D30" s="227"/>
      <c r="E30" s="227"/>
      <c r="F30" s="227"/>
      <c r="G30" s="227"/>
      <c r="H30" s="227"/>
    </row>
    <row r="31" spans="3:11" ht="16.5" customHeight="1">
      <c r="C31" s="243"/>
      <c r="D31" s="227"/>
      <c r="E31" s="227"/>
      <c r="F31" s="227"/>
      <c r="G31" s="227"/>
      <c r="H31" s="227"/>
    </row>
    <row r="32" spans="3:11" ht="16.5" customHeight="1">
      <c r="C32" s="425" t="s">
        <v>20</v>
      </c>
      <c r="D32" s="229">
        <f>SUM(D26:D31)</f>
        <v>26024420.506602239</v>
      </c>
      <c r="E32" s="229">
        <f t="shared" ref="E32:H32" si="1">SUM(E26:E31)</f>
        <v>20470965.498258866</v>
      </c>
      <c r="F32" s="229">
        <f t="shared" si="1"/>
        <v>18108201.244942132</v>
      </c>
      <c r="G32" s="229">
        <f t="shared" si="1"/>
        <v>17281653.816159695</v>
      </c>
      <c r="H32" s="229">
        <f t="shared" si="1"/>
        <v>16762165.165046612</v>
      </c>
    </row>
    <row r="34" spans="3:8" ht="16.5" customHeight="1">
      <c r="C34" s="725" t="s">
        <v>230</v>
      </c>
      <c r="D34" s="725"/>
      <c r="E34" s="725"/>
      <c r="F34" s="725"/>
      <c r="G34" s="725"/>
      <c r="H34" s="725"/>
    </row>
    <row r="35" spans="3:8" ht="16.5" customHeight="1">
      <c r="C35" s="151" t="s">
        <v>231</v>
      </c>
      <c r="D35" s="411" t="s">
        <v>11</v>
      </c>
      <c r="E35" s="411" t="s">
        <v>12</v>
      </c>
      <c r="F35" s="411" t="s">
        <v>13</v>
      </c>
      <c r="G35" s="411" t="s">
        <v>14</v>
      </c>
      <c r="H35" s="411" t="s">
        <v>15</v>
      </c>
    </row>
    <row r="36" spans="3:8" ht="16.5" customHeight="1">
      <c r="C36" s="209" t="s">
        <v>232</v>
      </c>
      <c r="D36" s="233">
        <f>FEES!D41*FEES!D60</f>
        <v>3085401.9915442332</v>
      </c>
      <c r="E36" s="233">
        <f>FEES!E41*FEES!E60</f>
        <v>3332234.1508677718</v>
      </c>
      <c r="F36" s="233">
        <f>FEES!F41*FEES!F60</f>
        <v>3665457.5659545497</v>
      </c>
      <c r="G36" s="233">
        <f>FEES!G41*FEES!G60</f>
        <v>3958694.1712309136</v>
      </c>
      <c r="H36" s="233">
        <f>FEES!H41*FEES!H60</f>
        <v>4235802.7632170785</v>
      </c>
    </row>
    <row r="37" spans="3:8" ht="16.5" customHeight="1">
      <c r="C37" s="211" t="s">
        <v>233</v>
      </c>
      <c r="D37" s="233">
        <f>FEES!D42*FEES!D61</f>
        <v>10377008.079295868</v>
      </c>
      <c r="E37" s="233">
        <f>FEES!E42*FEES!E61</f>
        <v>10784339.75469232</v>
      </c>
      <c r="F37" s="233">
        <f>FEES!F42*FEES!F61</f>
        <v>11393910.001726858</v>
      </c>
      <c r="G37" s="233">
        <f>FEES!G42*FEES!G61</f>
        <v>11914235.455444489</v>
      </c>
      <c r="H37" s="233">
        <f>FEES!H42*FEES!H61</f>
        <v>12514394.902756926</v>
      </c>
    </row>
    <row r="38" spans="3:8" ht="16.5" customHeight="1">
      <c r="C38" s="234" t="s">
        <v>234</v>
      </c>
      <c r="D38" s="233">
        <f>FEES!D43*FEES!D62</f>
        <v>14444873.922163734</v>
      </c>
      <c r="E38" s="233">
        <f>FEES!E43*FEES!E62</f>
        <v>13899891.391295107</v>
      </c>
      <c r="F38" s="233">
        <f>FEES!F43*FEES!F62</f>
        <v>13083502.462889578</v>
      </c>
      <c r="G38" s="233">
        <f>FEES!G43*FEES!G62</f>
        <v>12414228.491450664</v>
      </c>
      <c r="H38" s="233">
        <f>FEES!H43*FEES!H62</f>
        <v>11699057.263634559</v>
      </c>
    </row>
    <row r="39" spans="3:8" ht="16.5" customHeight="1">
      <c r="C39" s="416" t="s">
        <v>235</v>
      </c>
      <c r="D39" s="233">
        <f>FEES!D44*FEES!D63</f>
        <v>3559320.5573136955</v>
      </c>
      <c r="E39" s="233">
        <f>FEES!E44*FEES!E63</f>
        <v>3844066.2018987909</v>
      </c>
      <c r="F39" s="233">
        <f>FEES!F44*FEES!F63</f>
        <v>4228472.82208867</v>
      </c>
      <c r="G39" s="233">
        <f>FEES!G44*FEES!G63</f>
        <v>4566750.6478557643</v>
      </c>
      <c r="H39" s="233">
        <f>FEES!H44*FEES!H63</f>
        <v>4795088.1802485529</v>
      </c>
    </row>
    <row r="40" spans="3:8" ht="16.5" customHeight="1">
      <c r="C40" s="243"/>
      <c r="D40" s="233"/>
      <c r="E40" s="233"/>
      <c r="F40" s="233"/>
      <c r="G40" s="233"/>
      <c r="H40" s="233"/>
    </row>
    <row r="41" spans="3:8" ht="16.5" customHeight="1">
      <c r="C41" s="243"/>
      <c r="D41" s="233"/>
      <c r="E41" s="233"/>
      <c r="F41" s="233"/>
      <c r="G41" s="233"/>
      <c r="H41" s="233"/>
    </row>
    <row r="42" spans="3:8" ht="16.5" customHeight="1">
      <c r="C42" s="235" t="s">
        <v>20</v>
      </c>
      <c r="D42" s="232">
        <f>SUM(D36:D41)</f>
        <v>31466604.550317533</v>
      </c>
      <c r="E42" s="232">
        <f t="shared" ref="E42:H42" si="2">SUM(E36:E41)</f>
        <v>31860531.498753987</v>
      </c>
      <c r="F42" s="232">
        <f t="shared" si="2"/>
        <v>32371342.852659654</v>
      </c>
      <c r="G42" s="232">
        <f t="shared" si="2"/>
        <v>32853908.765981831</v>
      </c>
      <c r="H42" s="232">
        <f t="shared" si="2"/>
        <v>33244343.109857112</v>
      </c>
    </row>
    <row r="44" spans="3:8" ht="16.5" customHeight="1">
      <c r="C44" s="725" t="s">
        <v>236</v>
      </c>
      <c r="D44" s="725"/>
      <c r="E44" s="725"/>
      <c r="F44" s="725"/>
      <c r="G44" s="725"/>
      <c r="H44" s="725"/>
    </row>
    <row r="45" spans="3:8" ht="16.5" customHeight="1">
      <c r="C45" s="151" t="s">
        <v>237</v>
      </c>
      <c r="D45" s="411" t="s">
        <v>11</v>
      </c>
      <c r="E45" s="411" t="s">
        <v>12</v>
      </c>
      <c r="F45" s="411" t="s">
        <v>13</v>
      </c>
      <c r="G45" s="411" t="s">
        <v>14</v>
      </c>
      <c r="H45" s="411" t="s">
        <v>15</v>
      </c>
    </row>
    <row r="46" spans="3:8" ht="16.5" customHeight="1">
      <c r="C46" s="209" t="s">
        <v>31</v>
      </c>
      <c r="D46" s="233">
        <f>'INITIAL DATA'!D46*Dashboard!$I$12</f>
        <v>1982273.5211393628</v>
      </c>
      <c r="E46" s="233">
        <f>'INITIAL DATA'!H46*Dashboard!$I$12</f>
        <v>1661566.395056953</v>
      </c>
      <c r="F46" s="233">
        <f>'INITIAL DATA'!L46*Dashboard!$I$12</f>
        <v>1614199.7815995275</v>
      </c>
      <c r="G46" s="233">
        <f>'INITIAL DATA'!P46*Dashboard!$I$12</f>
        <v>1664161.3419287635</v>
      </c>
      <c r="H46" s="233">
        <f>'INITIAL DATA'!T46*Dashboard!$I$12</f>
        <v>1759261.6863462378</v>
      </c>
    </row>
    <row r="47" spans="3:8" ht="16.5" customHeight="1">
      <c r="C47" s="211" t="s">
        <v>32</v>
      </c>
      <c r="D47" s="233">
        <f>'INITIAL DATA'!D47*Dashboard!$I$12</f>
        <v>588255.93402352324</v>
      </c>
      <c r="E47" s="233">
        <f>'INITIAL DATA'!H47*Dashboard!$I$12</f>
        <v>493083.46262150776</v>
      </c>
      <c r="F47" s="233">
        <f>'INITIAL DATA'!L47*Dashboard!$I$12</f>
        <v>479027.03138546232</v>
      </c>
      <c r="G47" s="233">
        <f>'INITIAL DATA'!P47*Dashboard!$I$12</f>
        <v>493853.53439996811</v>
      </c>
      <c r="H47" s="233">
        <f>'INITIAL DATA'!T47*Dashboard!$I$12</f>
        <v>522075.34200354456</v>
      </c>
    </row>
    <row r="48" spans="3:8" ht="16.5" customHeight="1">
      <c r="C48" s="234" t="s">
        <v>33</v>
      </c>
      <c r="D48" s="233">
        <f>'INITIAL DATA'!D48*Dashboard!$I$12</f>
        <v>21416252.68122974</v>
      </c>
      <c r="E48" s="233">
        <f>'INITIAL DATA'!H48*Dashboard!$I$12</f>
        <v>16621639.049574271</v>
      </c>
      <c r="F48" s="233">
        <f>'INITIAL DATA'!L48*Dashboard!$I$12</f>
        <v>14386224.118178727</v>
      </c>
      <c r="G48" s="233">
        <f>'INITIAL DATA'!P48*Dashboard!$I$12</f>
        <v>13458209.574942531</v>
      </c>
      <c r="H48" s="233">
        <f>'INITIAL DATA'!T48*Dashboard!$I$12</f>
        <v>12764674.881189313</v>
      </c>
    </row>
    <row r="49" spans="2:8" ht="16.5" customHeight="1">
      <c r="C49" s="416" t="s">
        <v>27</v>
      </c>
      <c r="D49" s="233">
        <f>'INITIAL DATA'!D49*Dashboard!$I$12</f>
        <v>1779970.8404412735</v>
      </c>
      <c r="E49" s="233">
        <f>'INITIAL DATA'!H49*Dashboard!$I$12</f>
        <v>1491993.7642907011</v>
      </c>
      <c r="F49" s="233">
        <f>'INITIAL DATA'!L49*Dashboard!$I$12</f>
        <v>1449461.1925413641</v>
      </c>
      <c r="G49" s="233">
        <f>'INITIAL DATA'!P49*Dashboard!$I$12</f>
        <v>1494323.8815601196</v>
      </c>
      <c r="H49" s="233">
        <f>'INITIAL DATA'!T49*Dashboard!$I$12</f>
        <v>1550191.2241704215</v>
      </c>
    </row>
    <row r="50" spans="2:8" ht="16.5" customHeight="1">
      <c r="C50" s="243"/>
      <c r="D50" s="233"/>
      <c r="E50" s="233"/>
      <c r="F50" s="233"/>
      <c r="G50" s="233"/>
      <c r="H50" s="233"/>
    </row>
    <row r="51" spans="2:8" ht="16.5" customHeight="1">
      <c r="C51" s="243"/>
      <c r="D51" s="233"/>
      <c r="E51" s="233"/>
      <c r="F51" s="233"/>
      <c r="G51" s="233"/>
      <c r="H51" s="233"/>
    </row>
    <row r="52" spans="2:8" ht="16.5" customHeight="1">
      <c r="C52" s="235" t="s">
        <v>20</v>
      </c>
      <c r="D52" s="232">
        <f>SUM(D46:D51)</f>
        <v>25766752.976833902</v>
      </c>
      <c r="E52" s="232">
        <f>SUM(E46:E51)</f>
        <v>20268282.671543434</v>
      </c>
      <c r="F52" s="232">
        <f t="shared" ref="F52:H52" si="3">SUM(F46:F51)</f>
        <v>17928912.123705082</v>
      </c>
      <c r="G52" s="232">
        <f t="shared" si="3"/>
        <v>17110548.332831383</v>
      </c>
      <c r="H52" s="232">
        <f t="shared" si="3"/>
        <v>16596203.133709518</v>
      </c>
    </row>
    <row r="55" spans="2:8" ht="16.5" customHeight="1">
      <c r="C55" s="726" t="s">
        <v>20</v>
      </c>
      <c r="D55" s="726"/>
      <c r="E55" s="726"/>
      <c r="F55" s="726"/>
      <c r="G55" s="726"/>
      <c r="H55" s="726"/>
    </row>
    <row r="56" spans="2:8" ht="16.5" customHeight="1">
      <c r="C56" s="317"/>
      <c r="D56" s="411" t="s">
        <v>11</v>
      </c>
      <c r="E56" s="411" t="s">
        <v>12</v>
      </c>
      <c r="F56" s="411" t="s">
        <v>13</v>
      </c>
      <c r="G56" s="411" t="s">
        <v>14</v>
      </c>
      <c r="H56" s="411" t="s">
        <v>15</v>
      </c>
    </row>
    <row r="57" spans="2:8" ht="16.5" customHeight="1">
      <c r="B57" s="733" t="s">
        <v>238</v>
      </c>
      <c r="C57" s="237" t="s">
        <v>230</v>
      </c>
      <c r="D57" s="238">
        <f>D42</f>
        <v>31466604.550317533</v>
      </c>
      <c r="E57" s="238">
        <f>E42</f>
        <v>31860531.498753987</v>
      </c>
      <c r="F57" s="238">
        <f>F42</f>
        <v>32371342.852659654</v>
      </c>
      <c r="G57" s="238">
        <f>G42</f>
        <v>32853908.765981831</v>
      </c>
      <c r="H57" s="238">
        <f>H42</f>
        <v>33244343.109857112</v>
      </c>
    </row>
    <row r="58" spans="2:8" ht="16.5" customHeight="1">
      <c r="B58" s="734"/>
      <c r="C58" s="237" t="s">
        <v>236</v>
      </c>
      <c r="D58" s="238">
        <f>D52</f>
        <v>25766752.976833902</v>
      </c>
      <c r="E58" s="238">
        <f>E52</f>
        <v>20268282.671543434</v>
      </c>
      <c r="F58" s="238">
        <f>F52</f>
        <v>17928912.123705082</v>
      </c>
      <c r="G58" s="238">
        <f>G52</f>
        <v>17110548.332831383</v>
      </c>
      <c r="H58" s="238">
        <f>H52</f>
        <v>16596203.133709518</v>
      </c>
    </row>
    <row r="59" spans="2:8" ht="16.5" customHeight="1">
      <c r="B59" s="736" t="s">
        <v>239</v>
      </c>
      <c r="C59" s="424" t="s">
        <v>240</v>
      </c>
      <c r="D59" s="238">
        <f>D22</f>
        <v>1514682.4749877399</v>
      </c>
      <c r="E59" s="238">
        <f>E22</f>
        <v>1606895.7489378015</v>
      </c>
      <c r="F59" s="238">
        <f>F22</f>
        <v>1744067.8314078811</v>
      </c>
      <c r="G59" s="238">
        <f>G22</f>
        <v>1888747.73656489</v>
      </c>
      <c r="H59" s="238">
        <f>H22</f>
        <v>2049964.2438842813</v>
      </c>
    </row>
    <row r="60" spans="2:8" ht="16.5" customHeight="1">
      <c r="B60" s="737"/>
      <c r="C60" s="424" t="s">
        <v>241</v>
      </c>
      <c r="D60" s="238">
        <f>D32</f>
        <v>26024420.506602239</v>
      </c>
      <c r="E60" s="238">
        <f>E32</f>
        <v>20470965.498258866</v>
      </c>
      <c r="F60" s="238">
        <f>F32</f>
        <v>18108201.244942132</v>
      </c>
      <c r="G60" s="238">
        <f>G32</f>
        <v>17281653.816159695</v>
      </c>
      <c r="H60" s="238">
        <f>H32</f>
        <v>16762165.165046612</v>
      </c>
    </row>
    <row r="61" spans="2:8" ht="16.5" customHeight="1">
      <c r="C61" s="239" t="s">
        <v>242</v>
      </c>
      <c r="D61" s="238">
        <f>D57+D58-D59-D60</f>
        <v>29694254.545561459</v>
      </c>
      <c r="E61" s="238">
        <f t="shared" ref="E61:H61" si="4">E57+E58-E59-E60</f>
        <v>30050952.923100755</v>
      </c>
      <c r="F61" s="238">
        <f t="shared" si="4"/>
        <v>30447985.900014717</v>
      </c>
      <c r="G61" s="238">
        <f t="shared" si="4"/>
        <v>30794055.546088628</v>
      </c>
      <c r="H61" s="238">
        <f t="shared" si="4"/>
        <v>31028416.834635742</v>
      </c>
    </row>
    <row r="63" spans="2:8" ht="16.5" customHeight="1">
      <c r="C63" s="25"/>
      <c r="D63" s="605" t="s">
        <v>47</v>
      </c>
      <c r="E63" s="605"/>
      <c r="F63" s="605"/>
      <c r="G63" s="605"/>
      <c r="H63" s="605"/>
    </row>
    <row r="64" spans="2:8" ht="16.5" customHeight="1">
      <c r="D64" s="411" t="s">
        <v>11</v>
      </c>
      <c r="E64" s="411" t="s">
        <v>12</v>
      </c>
      <c r="F64" s="411" t="s">
        <v>13</v>
      </c>
      <c r="G64" s="411" t="s">
        <v>14</v>
      </c>
      <c r="H64" s="411" t="s">
        <v>15</v>
      </c>
    </row>
    <row r="65" spans="2:8" ht="16.5" customHeight="1">
      <c r="B65" s="19"/>
      <c r="C65" s="426" t="s">
        <v>243</v>
      </c>
      <c r="D65" s="428">
        <f>$H$15</f>
        <v>29163120.075329788</v>
      </c>
      <c r="E65" s="227">
        <f t="shared" ref="E65:H65" si="5">$H$15</f>
        <v>29163120.075329788</v>
      </c>
      <c r="F65" s="227">
        <f t="shared" si="5"/>
        <v>29163120.075329788</v>
      </c>
      <c r="G65" s="227">
        <f t="shared" si="5"/>
        <v>29163120.075329788</v>
      </c>
      <c r="H65" s="227">
        <f t="shared" si="5"/>
        <v>29163120.075329788</v>
      </c>
    </row>
    <row r="66" spans="2:8" ht="16.5" customHeight="1">
      <c r="C66" s="427" t="s">
        <v>242</v>
      </c>
      <c r="D66" s="240">
        <f>D61</f>
        <v>29694254.545561459</v>
      </c>
      <c r="E66" s="241">
        <f t="shared" ref="E66:H66" si="6">E61</f>
        <v>30050952.923100755</v>
      </c>
      <c r="F66" s="241">
        <f t="shared" si="6"/>
        <v>30447985.900014717</v>
      </c>
      <c r="G66" s="241">
        <f t="shared" si="6"/>
        <v>30794055.546088628</v>
      </c>
      <c r="H66" s="241">
        <f t="shared" si="6"/>
        <v>31028416.834635742</v>
      </c>
    </row>
    <row r="67" spans="2:8" ht="16.5" customHeight="1">
      <c r="C67" s="252" t="s">
        <v>244</v>
      </c>
      <c r="D67" s="240">
        <f>D66-D65</f>
        <v>531134.47023167089</v>
      </c>
      <c r="E67" s="240">
        <f t="shared" ref="E67:H67" si="7">E66-E65</f>
        <v>887832.84777096659</v>
      </c>
      <c r="F67" s="240">
        <f t="shared" si="7"/>
        <v>1284865.8246849291</v>
      </c>
      <c r="G67" s="240">
        <f t="shared" si="7"/>
        <v>1630935.4707588404</v>
      </c>
      <c r="H67" s="240">
        <f t="shared" si="7"/>
        <v>1865296.759305954</v>
      </c>
    </row>
    <row r="70" spans="2:8" ht="16.5" customHeight="1">
      <c r="C70" s="630" t="s">
        <v>245</v>
      </c>
      <c r="D70" s="644"/>
      <c r="E70" s="644"/>
      <c r="F70" s="735"/>
      <c r="G70" s="735"/>
      <c r="H70" s="735"/>
    </row>
    <row r="72" spans="2:8" ht="16.5" customHeight="1">
      <c r="B72" s="26"/>
      <c r="D72" s="242"/>
      <c r="E72" s="242"/>
      <c r="F72" s="242"/>
      <c r="G72" s="26"/>
    </row>
    <row r="73" spans="2:8" ht="16.5" customHeight="1">
      <c r="B73" s="26"/>
      <c r="C73" s="724" t="s">
        <v>48</v>
      </c>
      <c r="D73" s="724"/>
      <c r="E73" s="724"/>
      <c r="F73" s="724"/>
      <c r="G73" s="724"/>
      <c r="H73" s="724"/>
    </row>
    <row r="74" spans="2:8" ht="16.5" customHeight="1">
      <c r="B74" s="26"/>
      <c r="C74" s="429"/>
      <c r="D74" s="430" t="s">
        <v>11</v>
      </c>
      <c r="E74" s="430" t="s">
        <v>12</v>
      </c>
      <c r="F74" s="430" t="s">
        <v>13</v>
      </c>
      <c r="G74" s="430" t="s">
        <v>14</v>
      </c>
      <c r="H74" s="430" t="s">
        <v>15</v>
      </c>
    </row>
    <row r="75" spans="2:8" ht="30">
      <c r="B75" s="26"/>
      <c r="C75" s="431" t="s">
        <v>49</v>
      </c>
      <c r="D75" s="227">
        <f>Dashboard!N67</f>
        <v>2316570.4334200351</v>
      </c>
      <c r="E75" s="227">
        <f>Dashboard!O67</f>
        <v>2607804.8279973092</v>
      </c>
      <c r="F75" s="227">
        <f>Dashboard!P67</f>
        <v>2809037.55015575</v>
      </c>
      <c r="G75" s="227">
        <f>Dashboard!Q67</f>
        <v>2943998.0382919284</v>
      </c>
      <c r="H75" s="227">
        <f>Dashboard!R67</f>
        <v>3022114.7834581677</v>
      </c>
    </row>
    <row r="76" spans="2:8" ht="30">
      <c r="B76" s="26"/>
      <c r="C76" s="432" t="s">
        <v>50</v>
      </c>
      <c r="D76" s="227">
        <f>Dashboard!N68</f>
        <v>275782.19445476605</v>
      </c>
      <c r="E76" s="227">
        <f>Dashboard!O68</f>
        <v>310452.95571396535</v>
      </c>
      <c r="F76" s="227">
        <f>Dashboard!P68</f>
        <v>334409.2321613988</v>
      </c>
      <c r="G76" s="227">
        <f>Dashboard!Q68</f>
        <v>350475.95693951531</v>
      </c>
      <c r="H76" s="227">
        <f>Dashboard!R68</f>
        <v>359775.56945930567</v>
      </c>
    </row>
    <row r="77" spans="2:8" ht="15">
      <c r="B77" s="26"/>
      <c r="C77" s="433" t="s">
        <v>51</v>
      </c>
      <c r="D77" s="227">
        <f>Dashboard!N69</f>
        <v>1378910.9722738303</v>
      </c>
      <c r="E77" s="227">
        <f>Dashboard!O69</f>
        <v>1552264.7785698269</v>
      </c>
      <c r="F77" s="227">
        <f>Dashboard!P69</f>
        <v>1672046.160806994</v>
      </c>
      <c r="G77" s="227">
        <f>Dashboard!Q69</f>
        <v>1752379.7846975764</v>
      </c>
      <c r="H77" s="227">
        <f>Dashboard!R69</f>
        <v>1798877.8472965285</v>
      </c>
    </row>
    <row r="78" spans="2:8" ht="16.5" customHeight="1">
      <c r="B78" s="26"/>
      <c r="D78" s="26"/>
      <c r="E78" s="26"/>
      <c r="F78" s="26"/>
      <c r="G78" s="26"/>
    </row>
    <row r="80" spans="2:8" ht="16.5" customHeight="1">
      <c r="B80" s="26"/>
      <c r="C80" s="724" t="s">
        <v>246</v>
      </c>
      <c r="D80" s="724"/>
      <c r="E80" s="724"/>
      <c r="F80" s="724"/>
      <c r="G80" s="724"/>
      <c r="H80" s="724"/>
    </row>
    <row r="81" spans="2:8" ht="16.5" customHeight="1">
      <c r="B81" s="26"/>
      <c r="C81" s="429"/>
      <c r="D81" s="430" t="s">
        <v>11</v>
      </c>
      <c r="E81" s="430" t="s">
        <v>12</v>
      </c>
      <c r="F81" s="430" t="s">
        <v>13</v>
      </c>
      <c r="G81" s="430" t="s">
        <v>14</v>
      </c>
      <c r="H81" s="430" t="s">
        <v>15</v>
      </c>
    </row>
    <row r="82" spans="2:8" ht="30">
      <c r="B82" s="26"/>
      <c r="C82" s="431" t="s">
        <v>49</v>
      </c>
      <c r="D82" s="227">
        <f>D75</f>
        <v>2316570.4334200351</v>
      </c>
      <c r="E82" s="227">
        <f>D82+E75</f>
        <v>4924375.2614173442</v>
      </c>
      <c r="F82" s="227">
        <f>E82+F75</f>
        <v>7733412.8115730938</v>
      </c>
      <c r="G82" s="227">
        <f>F82+G75</f>
        <v>10677410.849865023</v>
      </c>
      <c r="H82" s="227">
        <f>G82+H75</f>
        <v>13699525.633323191</v>
      </c>
    </row>
    <row r="83" spans="2:8" ht="30">
      <c r="B83" s="26"/>
      <c r="C83" s="432" t="s">
        <v>50</v>
      </c>
      <c r="D83" s="227">
        <f t="shared" ref="D83:D84" si="8">D76</f>
        <v>275782.19445476605</v>
      </c>
      <c r="E83" s="227">
        <f t="shared" ref="E83:H84" si="9">D83+E76</f>
        <v>586235.15016873134</v>
      </c>
      <c r="F83" s="227">
        <f t="shared" si="9"/>
        <v>920644.38233013009</v>
      </c>
      <c r="G83" s="227">
        <f t="shared" si="9"/>
        <v>1271120.3392696455</v>
      </c>
      <c r="H83" s="227">
        <f t="shared" si="9"/>
        <v>1630895.9087289511</v>
      </c>
    </row>
    <row r="84" spans="2:8" ht="15">
      <c r="B84" s="26"/>
      <c r="C84" s="433" t="s">
        <v>51</v>
      </c>
      <c r="D84" s="227">
        <f t="shared" si="8"/>
        <v>1378910.9722738303</v>
      </c>
      <c r="E84" s="227">
        <f t="shared" si="9"/>
        <v>2931175.7508436572</v>
      </c>
      <c r="F84" s="227">
        <f t="shared" si="9"/>
        <v>4603221.9116506511</v>
      </c>
      <c r="G84" s="227">
        <f t="shared" si="9"/>
        <v>6355601.6963482276</v>
      </c>
      <c r="H84" s="227">
        <f t="shared" si="9"/>
        <v>8154479.5436447561</v>
      </c>
    </row>
  </sheetData>
  <mergeCells count="16">
    <mergeCell ref="B57:B58"/>
    <mergeCell ref="D63:H63"/>
    <mergeCell ref="C70:H70"/>
    <mergeCell ref="C34:H34"/>
    <mergeCell ref="B59:B60"/>
    <mergeCell ref="C73:H73"/>
    <mergeCell ref="C80:H80"/>
    <mergeCell ref="C10:D10"/>
    <mergeCell ref="C44:H44"/>
    <mergeCell ref="C55:H55"/>
    <mergeCell ref="C17:H17"/>
    <mergeCell ref="C24:H24"/>
    <mergeCell ref="D12:E12"/>
    <mergeCell ref="D13:E13"/>
    <mergeCell ref="D14:E14"/>
    <mergeCell ref="D15:E1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82B35-7248-450F-93F3-7C7533991591}">
  <sheetPr>
    <tabColor rgb="FFFFC000"/>
  </sheetPr>
  <dimension ref="B1:I38"/>
  <sheetViews>
    <sheetView zoomScale="85" zoomScaleNormal="85" workbookViewId="0">
      <selection activeCell="R76" sqref="N71:R76"/>
    </sheetView>
  </sheetViews>
  <sheetFormatPr defaultColWidth="10.7109375" defaultRowHeight="14.25"/>
  <cols>
    <col min="1" max="1" width="11.42578125" style="11" customWidth="1"/>
    <col min="2" max="2" width="56.42578125" style="11" customWidth="1"/>
    <col min="3" max="3" width="21.42578125" style="11" customWidth="1"/>
    <col min="4" max="5" width="23.7109375" style="11" customWidth="1"/>
    <col min="6" max="6" width="20.7109375" style="11" customWidth="1"/>
    <col min="7" max="7" width="25.7109375" style="11" customWidth="1"/>
    <col min="8" max="8" width="15.7109375" style="11" customWidth="1"/>
    <col min="9" max="9" width="84.28515625" style="11" customWidth="1"/>
    <col min="10" max="16384" width="10.7109375" style="11"/>
  </cols>
  <sheetData>
    <row r="1" spans="2:7" s="258" customFormat="1" ht="22.9" customHeight="1">
      <c r="B1" s="259"/>
    </row>
    <row r="2" spans="2:7" s="258" customFormat="1" ht="22.9" customHeight="1">
      <c r="B2" s="259"/>
      <c r="C2" s="332" t="s">
        <v>369</v>
      </c>
      <c r="D2" s="260"/>
    </row>
    <row r="3" spans="2:7" s="258" customFormat="1" ht="22.9" customHeight="1">
      <c r="B3" s="259"/>
      <c r="C3" s="332" t="s">
        <v>381</v>
      </c>
      <c r="D3" s="260"/>
    </row>
    <row r="4" spans="2:7" s="258" customFormat="1" ht="22.9" customHeight="1">
      <c r="B4" s="259"/>
      <c r="C4" s="261"/>
    </row>
    <row r="5" spans="2:7" s="68" customFormat="1" ht="18" customHeight="1">
      <c r="B5" s="69"/>
      <c r="C5" s="70"/>
    </row>
    <row r="7" spans="2:7" ht="17.25" customHeight="1">
      <c r="D7" s="607" t="s">
        <v>247</v>
      </c>
      <c r="E7" s="607"/>
      <c r="F7" s="607"/>
    </row>
    <row r="8" spans="2:7" ht="24.75" customHeight="1">
      <c r="D8" s="741" t="s">
        <v>62</v>
      </c>
      <c r="E8" s="741"/>
      <c r="F8" s="244">
        <v>0.7</v>
      </c>
    </row>
    <row r="9" spans="2:7" ht="23.25" customHeight="1">
      <c r="D9" s="740" t="s">
        <v>23</v>
      </c>
      <c r="E9" s="740"/>
      <c r="F9" s="244">
        <v>0.01</v>
      </c>
    </row>
    <row r="11" spans="2:7" ht="15">
      <c r="B11" s="738" t="s">
        <v>248</v>
      </c>
      <c r="C11" s="738"/>
      <c r="D11" s="738"/>
      <c r="E11" s="603"/>
      <c r="F11" s="603"/>
      <c r="G11" s="739"/>
    </row>
    <row r="13" spans="2:7" ht="15">
      <c r="B13" s="245" t="s">
        <v>62</v>
      </c>
      <c r="C13" s="411" t="s">
        <v>11</v>
      </c>
      <c r="D13" s="411" t="s">
        <v>12</v>
      </c>
      <c r="E13" s="411" t="s">
        <v>13</v>
      </c>
      <c r="F13" s="411" t="s">
        <v>14</v>
      </c>
      <c r="G13" s="411" t="s">
        <v>15</v>
      </c>
    </row>
    <row r="14" spans="2:7" ht="15">
      <c r="B14" s="434" t="s">
        <v>376</v>
      </c>
      <c r="C14" s="233">
        <f>'INITIAL DATA'!F35</f>
        <v>2597082.3838133779</v>
      </c>
      <c r="D14" s="233">
        <f>'INITIAL DATA'!J35</f>
        <v>2804848.9745184481</v>
      </c>
      <c r="E14" s="233">
        <f>'INITIAL DATA'!N35</f>
        <v>2831214.5548789217</v>
      </c>
      <c r="F14" s="233">
        <f>'INITIAL DATA'!R35</f>
        <v>2802336.1664191568</v>
      </c>
      <c r="G14" s="233">
        <f>'INITIAL DATA'!V35</f>
        <v>2696968.326561796</v>
      </c>
    </row>
    <row r="15" spans="2:7" ht="15">
      <c r="B15" s="434" t="s">
        <v>377</v>
      </c>
      <c r="C15" s="233">
        <f>'EXTERNAL INCOMES'!$F$8</f>
        <v>0.7</v>
      </c>
      <c r="D15" s="233">
        <f>'EXTERNAL INCOMES'!$F$8</f>
        <v>0.7</v>
      </c>
      <c r="E15" s="233">
        <f>'EXTERNAL INCOMES'!$F$8</f>
        <v>0.7</v>
      </c>
      <c r="F15" s="233">
        <f>'EXTERNAL INCOMES'!$F$8</f>
        <v>0.7</v>
      </c>
      <c r="G15" s="233">
        <f>'EXTERNAL INCOMES'!$F$8</f>
        <v>0.7</v>
      </c>
    </row>
    <row r="16" spans="2:7" ht="15">
      <c r="B16" s="435" t="s">
        <v>249</v>
      </c>
      <c r="C16" s="233">
        <f>C14*C15</f>
        <v>1817957.6686693644</v>
      </c>
      <c r="D16" s="233">
        <f>D14*D15</f>
        <v>1963394.2821629136</v>
      </c>
      <c r="E16" s="233">
        <f t="shared" ref="E16:G16" si="0">E14*E15</f>
        <v>1981850.1884152452</v>
      </c>
      <c r="F16" s="233">
        <f t="shared" si="0"/>
        <v>1961635.3164934097</v>
      </c>
      <c r="G16" s="233">
        <f t="shared" si="0"/>
        <v>1887877.8285932571</v>
      </c>
    </row>
    <row r="17" spans="2:9">
      <c r="B17" s="436" t="s">
        <v>250</v>
      </c>
      <c r="C17" s="233">
        <f>'EXTERNAL SHIPMENT'!D32</f>
        <v>598483.20711432735</v>
      </c>
      <c r="D17" s="233">
        <f>'EXTERNAL SHIPMENT'!E32</f>
        <v>646361.86368347355</v>
      </c>
      <c r="E17" s="233">
        <f>'EXTERNAL SHIPMENT'!F32</f>
        <v>652437.6652020982</v>
      </c>
      <c r="F17" s="233">
        <f>'EXTERNAL SHIPMENT'!G32</f>
        <v>645782.80101703678</v>
      </c>
      <c r="G17" s="233">
        <f>'EXTERNAL SHIPMENT'!H32</f>
        <v>621501.36769879609</v>
      </c>
    </row>
    <row r="18" spans="2:9">
      <c r="B18" s="437" t="s">
        <v>251</v>
      </c>
      <c r="C18" s="438">
        <f>C16-C17</f>
        <v>1219474.4615550372</v>
      </c>
      <c r="D18" s="438">
        <f t="shared" ref="D18:G18" si="1">D16-D17</f>
        <v>1317032.41847944</v>
      </c>
      <c r="E18" s="438">
        <f t="shared" si="1"/>
        <v>1329412.523213147</v>
      </c>
      <c r="F18" s="438">
        <f t="shared" si="1"/>
        <v>1315852.515476373</v>
      </c>
      <c r="G18" s="438">
        <f t="shared" si="1"/>
        <v>1266376.460894461</v>
      </c>
    </row>
    <row r="19" spans="2:9">
      <c r="C19" s="63"/>
      <c r="D19" s="63"/>
      <c r="E19" s="63"/>
      <c r="F19" s="63"/>
      <c r="G19" s="63"/>
    </row>
    <row r="20" spans="2:9" ht="15">
      <c r="B20" s="422" t="s">
        <v>23</v>
      </c>
      <c r="C20" s="439" t="s">
        <v>11</v>
      </c>
      <c r="D20" s="439" t="s">
        <v>12</v>
      </c>
      <c r="E20" s="439" t="s">
        <v>13</v>
      </c>
      <c r="F20" s="439" t="s">
        <v>14</v>
      </c>
      <c r="G20" s="439" t="s">
        <v>15</v>
      </c>
    </row>
    <row r="21" spans="2:9" ht="15">
      <c r="B21" s="434" t="s">
        <v>378</v>
      </c>
      <c r="C21" s="233">
        <f>'INITIAL DATA'!F33</f>
        <v>554732.6478860639</v>
      </c>
      <c r="D21" s="233">
        <f>'INITIAL DATA'!J33</f>
        <v>647040.16049430496</v>
      </c>
      <c r="E21" s="233">
        <f>'INITIAL DATA'!N33</f>
        <v>733096.50184004754</v>
      </c>
      <c r="F21" s="233">
        <f>'INITIAL DATA'!R33</f>
        <v>799661.66420712392</v>
      </c>
      <c r="G21" s="233">
        <f>'INITIAL DATA'!V33</f>
        <v>857777.07565337676</v>
      </c>
    </row>
    <row r="22" spans="2:9" ht="15">
      <c r="B22" s="440" t="s">
        <v>379</v>
      </c>
      <c r="C22" s="233">
        <f>'EXTERNAL INCOMES'!$F$9</f>
        <v>0.01</v>
      </c>
      <c r="D22" s="233">
        <f>'EXTERNAL INCOMES'!$F$9</f>
        <v>0.01</v>
      </c>
      <c r="E22" s="233">
        <f>'EXTERNAL INCOMES'!$F$9</f>
        <v>0.01</v>
      </c>
      <c r="F22" s="233">
        <f>'EXTERNAL INCOMES'!$F$9</f>
        <v>0.01</v>
      </c>
      <c r="G22" s="233">
        <f>'EXTERNAL INCOMES'!$F$9</f>
        <v>0.01</v>
      </c>
      <c r="H22" s="246"/>
      <c r="I22" s="247"/>
    </row>
    <row r="23" spans="2:9" ht="15">
      <c r="B23" s="441" t="s">
        <v>252</v>
      </c>
      <c r="C23" s="233">
        <f>C21*C22</f>
        <v>5547.3264788606393</v>
      </c>
      <c r="D23" s="233">
        <f t="shared" ref="D23:G23" si="2">D21*D22</f>
        <v>6470.4016049430502</v>
      </c>
      <c r="E23" s="233">
        <f t="shared" si="2"/>
        <v>7330.9650184004759</v>
      </c>
      <c r="F23" s="233">
        <f t="shared" si="2"/>
        <v>7996.6166420712398</v>
      </c>
      <c r="G23" s="233">
        <f t="shared" si="2"/>
        <v>8577.7707565337678</v>
      </c>
    </row>
    <row r="24" spans="2:9">
      <c r="B24" s="436" t="s">
        <v>253</v>
      </c>
      <c r="C24" s="233">
        <f>'EXTERNAL SHIPMENT'!D26</f>
        <v>127835.05685729961</v>
      </c>
      <c r="D24" s="233">
        <f>'EXTERNAL SHIPMENT'!E26</f>
        <v>149106.81031835426</v>
      </c>
      <c r="E24" s="233">
        <f>'EXTERNAL SHIPMENT'!F26</f>
        <v>168938.0160906954</v>
      </c>
      <c r="F24" s="233">
        <f>'EXTERNAL SHIPMENT'!G26</f>
        <v>184277.58795173059</v>
      </c>
      <c r="G24" s="233">
        <f>'EXTERNAL SHIPMENT'!H26</f>
        <v>197669.96165612258</v>
      </c>
    </row>
    <row r="25" spans="2:9">
      <c r="B25" s="437" t="s">
        <v>254</v>
      </c>
      <c r="C25" s="438">
        <f>C23-C24</f>
        <v>-122287.73037843898</v>
      </c>
      <c r="D25" s="438">
        <f t="shared" ref="D25:G25" si="3">D23-D24</f>
        <v>-142636.40871341119</v>
      </c>
      <c r="E25" s="438">
        <f t="shared" si="3"/>
        <v>-161607.05107229491</v>
      </c>
      <c r="F25" s="438">
        <f t="shared" si="3"/>
        <v>-176280.97130965936</v>
      </c>
      <c r="G25" s="438">
        <f t="shared" si="3"/>
        <v>-189092.19089958881</v>
      </c>
    </row>
    <row r="29" spans="2:9" ht="19.5" customHeight="1"/>
    <row r="30" spans="2:9" ht="19.5" customHeight="1">
      <c r="B30" s="19"/>
      <c r="C30" s="165"/>
      <c r="D30" s="165"/>
      <c r="E30" s="165"/>
      <c r="F30" s="165"/>
      <c r="G30" s="165"/>
    </row>
    <row r="31" spans="2:9" ht="18.75" customHeight="1">
      <c r="B31" s="19"/>
      <c r="C31" s="165"/>
      <c r="D31" s="165"/>
      <c r="E31" s="165"/>
      <c r="F31" s="165"/>
      <c r="G31" s="165"/>
    </row>
    <row r="32" spans="2:9" ht="20.25" customHeight="1"/>
    <row r="36" spans="9:9">
      <c r="I36" s="247"/>
    </row>
    <row r="38" spans="9:9">
      <c r="I38" s="247"/>
    </row>
  </sheetData>
  <mergeCells count="4">
    <mergeCell ref="B11:G11"/>
    <mergeCell ref="D9:E9"/>
    <mergeCell ref="D7:F7"/>
    <mergeCell ref="D8:E8"/>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245F2-A61D-493E-BA37-7446FFE84AF0}">
  <sheetPr>
    <tabColor rgb="FFFFC000"/>
  </sheetPr>
  <dimension ref="B1:N32"/>
  <sheetViews>
    <sheetView topLeftCell="A28" zoomScale="85" zoomScaleNormal="85" workbookViewId="0">
      <selection activeCell="R76" sqref="N71:R76"/>
    </sheetView>
  </sheetViews>
  <sheetFormatPr defaultColWidth="8.7109375" defaultRowHeight="13.5" customHeight="1"/>
  <cols>
    <col min="1" max="2" width="8.7109375" style="11"/>
    <col min="3" max="3" width="38.140625" style="11" customWidth="1"/>
    <col min="4" max="4" width="27.7109375" style="11" customWidth="1"/>
    <col min="5" max="5" width="20.140625" style="11" customWidth="1"/>
    <col min="6" max="6" width="23.42578125" style="11" customWidth="1"/>
    <col min="7" max="7" width="28.42578125" style="11" customWidth="1"/>
    <col min="8" max="9" width="19.140625" style="11" customWidth="1"/>
    <col min="10" max="10" width="37.85546875" style="11" customWidth="1"/>
    <col min="11" max="11" width="20" style="11" customWidth="1"/>
    <col min="12" max="16384" width="8.7109375" style="11"/>
  </cols>
  <sheetData>
    <row r="1" spans="2:11" s="258" customFormat="1" ht="22.9" customHeight="1">
      <c r="B1" s="259"/>
    </row>
    <row r="2" spans="2:11" s="258" customFormat="1" ht="22.9" customHeight="1">
      <c r="B2" s="259"/>
      <c r="C2" s="328" t="s">
        <v>369</v>
      </c>
      <c r="D2" s="260"/>
    </row>
    <row r="3" spans="2:11" s="258" customFormat="1" ht="22.9" customHeight="1">
      <c r="B3" s="259"/>
      <c r="C3" s="328" t="s">
        <v>381</v>
      </c>
      <c r="D3" s="260"/>
    </row>
    <row r="4" spans="2:11" s="258" customFormat="1" ht="22.9" customHeight="1">
      <c r="B4" s="259"/>
      <c r="C4" s="261"/>
    </row>
    <row r="5" spans="2:11" s="68" customFormat="1" ht="18" customHeight="1">
      <c r="B5" s="69"/>
      <c r="C5" s="70"/>
    </row>
    <row r="7" spans="2:11" ht="13.5" customHeight="1">
      <c r="C7" s="748" t="s">
        <v>255</v>
      </c>
      <c r="D7" s="748"/>
      <c r="F7" s="742" t="s">
        <v>256</v>
      </c>
      <c r="G7" s="742"/>
    </row>
    <row r="8" spans="2:11" ht="13.5" customHeight="1">
      <c r="C8" s="12" t="s">
        <v>257</v>
      </c>
      <c r="D8" s="13">
        <v>250</v>
      </c>
      <c r="F8" s="249" t="s">
        <v>258</v>
      </c>
      <c r="G8" s="250">
        <v>90</v>
      </c>
    </row>
    <row r="9" spans="2:11" ht="13.5" customHeight="1">
      <c r="C9" s="14" t="s">
        <v>259</v>
      </c>
      <c r="D9" s="17">
        <f>D8/'INITIAL DATA'!M9</f>
        <v>8333.3333333333339</v>
      </c>
      <c r="F9" s="138" t="s">
        <v>260</v>
      </c>
      <c r="G9" s="13">
        <v>180</v>
      </c>
    </row>
    <row r="10" spans="2:11" ht="13.5" customHeight="1">
      <c r="C10" s="14" t="s">
        <v>261</v>
      </c>
      <c r="D10" s="17">
        <f>D8/'INITIAL DATA'!O9</f>
        <v>19230.76923076923</v>
      </c>
    </row>
    <row r="12" spans="2:11" ht="13.5" customHeight="1">
      <c r="C12" s="749" t="s">
        <v>262</v>
      </c>
      <c r="D12" s="750"/>
      <c r="E12" s="751"/>
      <c r="F12" s="251"/>
      <c r="G12" s="758" t="s">
        <v>263</v>
      </c>
      <c r="H12" s="759"/>
      <c r="I12" s="22"/>
      <c r="J12" s="753" t="s">
        <v>264</v>
      </c>
      <c r="K12" s="754"/>
    </row>
    <row r="13" spans="2:11" ht="13.5" customHeight="1">
      <c r="C13" s="743" t="s">
        <v>265</v>
      </c>
      <c r="D13" s="252" t="s">
        <v>266</v>
      </c>
      <c r="E13" s="17">
        <f>D9</f>
        <v>8333.3333333333339</v>
      </c>
      <c r="F13" s="251"/>
      <c r="G13" s="760" t="s">
        <v>267</v>
      </c>
      <c r="H13" s="761">
        <f>K22</f>
        <v>5185</v>
      </c>
      <c r="J13" s="755"/>
      <c r="K13" s="756"/>
    </row>
    <row r="14" spans="2:11" ht="13.5" customHeight="1">
      <c r="C14" s="744"/>
      <c r="D14" s="252" t="s">
        <v>268</v>
      </c>
      <c r="E14" s="17">
        <f>E13*G8</f>
        <v>750000</v>
      </c>
      <c r="F14" s="251"/>
      <c r="G14" s="760"/>
      <c r="H14" s="761"/>
      <c r="J14" s="51" t="s">
        <v>269</v>
      </c>
      <c r="K14" s="67">
        <f>Questions!C74</f>
        <v>340</v>
      </c>
    </row>
    <row r="15" spans="2:11" ht="13.5" customHeight="1">
      <c r="C15" s="745"/>
      <c r="D15" s="252" t="s">
        <v>270</v>
      </c>
      <c r="E15" s="17">
        <f>E13*G9</f>
        <v>1500000</v>
      </c>
      <c r="F15" s="251"/>
      <c r="G15" s="760"/>
      <c r="H15" s="761"/>
      <c r="J15" s="51" t="s">
        <v>271</v>
      </c>
      <c r="K15" s="67">
        <f>Questions!C75</f>
        <v>250</v>
      </c>
    </row>
    <row r="16" spans="2:11" ht="13.5" customHeight="1">
      <c r="C16" s="746" t="s">
        <v>272</v>
      </c>
      <c r="D16" s="253" t="s">
        <v>266</v>
      </c>
      <c r="E16" s="254">
        <f>D10</f>
        <v>19230.76923076923</v>
      </c>
      <c r="F16" s="251"/>
      <c r="G16" s="760" t="s">
        <v>273</v>
      </c>
      <c r="H16" s="762">
        <f>K22</f>
        <v>5185</v>
      </c>
      <c r="J16" s="51" t="s">
        <v>274</v>
      </c>
      <c r="K16" s="67">
        <f>Questions!C76</f>
        <v>400</v>
      </c>
    </row>
    <row r="17" spans="3:14" ht="13.5" customHeight="1">
      <c r="C17" s="746"/>
      <c r="D17" s="252" t="s">
        <v>268</v>
      </c>
      <c r="E17" s="17">
        <f>E16*G8</f>
        <v>1730769.2307692308</v>
      </c>
      <c r="F17" s="251"/>
      <c r="G17" s="760"/>
      <c r="H17" s="763"/>
      <c r="J17" s="52" t="s">
        <v>275</v>
      </c>
      <c r="K17" s="255">
        <f>25*((E14*'INITIAL DATA'!M9)/1000)</f>
        <v>562.5</v>
      </c>
    </row>
    <row r="18" spans="3:14" ht="13.5" customHeight="1">
      <c r="C18" s="747"/>
      <c r="D18" s="252" t="s">
        <v>270</v>
      </c>
      <c r="E18" s="17">
        <f>E16*G9</f>
        <v>3461538.4615384615</v>
      </c>
      <c r="F18" s="251"/>
      <c r="G18" s="760"/>
      <c r="H18" s="764"/>
      <c r="J18" s="53" t="s">
        <v>276</v>
      </c>
      <c r="K18" s="255">
        <f>K17</f>
        <v>562.5</v>
      </c>
    </row>
    <row r="19" spans="3:14" ht="13.5" customHeight="1">
      <c r="J19" s="53" t="s">
        <v>277</v>
      </c>
      <c r="K19" s="67">
        <f>Questions!C77</f>
        <v>600</v>
      </c>
    </row>
    <row r="20" spans="3:14" ht="13.5" customHeight="1">
      <c r="J20" s="53" t="s">
        <v>288</v>
      </c>
      <c r="K20" s="67">
        <f>Questions!C78</f>
        <v>2350</v>
      </c>
    </row>
    <row r="21" spans="3:14" ht="13.5" customHeight="1">
      <c r="C21" s="757" t="s">
        <v>278</v>
      </c>
      <c r="D21" s="757"/>
      <c r="E21" s="757"/>
      <c r="F21" s="757"/>
      <c r="G21" s="757"/>
      <c r="H21" s="757"/>
      <c r="J21" s="16" t="s">
        <v>279</v>
      </c>
      <c r="K21" s="67">
        <f>Questions!C79</f>
        <v>120</v>
      </c>
    </row>
    <row r="22" spans="3:14" ht="13.5" customHeight="1">
      <c r="J22" s="54" t="s">
        <v>20</v>
      </c>
      <c r="K22" s="256">
        <f>SUM(K14:K21)</f>
        <v>5185</v>
      </c>
    </row>
    <row r="23" spans="3:14" ht="13.5" customHeight="1">
      <c r="C23" s="422" t="s">
        <v>280</v>
      </c>
      <c r="D23" s="411" t="s">
        <v>11</v>
      </c>
      <c r="E23" s="411" t="s">
        <v>12</v>
      </c>
      <c r="F23" s="411" t="s">
        <v>13</v>
      </c>
      <c r="G23" s="411" t="s">
        <v>14</v>
      </c>
      <c r="H23" s="411" t="s">
        <v>15</v>
      </c>
      <c r="J23" s="257" t="s">
        <v>365</v>
      </c>
    </row>
    <row r="24" spans="3:14" ht="13.5" customHeight="1">
      <c r="C24" s="317" t="s">
        <v>281</v>
      </c>
      <c r="D24" s="291">
        <f>'INITIAL DATA'!D33</f>
        <v>18491088.262868796</v>
      </c>
      <c r="E24" s="291">
        <f>'INITIAL DATA'!H33</f>
        <v>21568005.349810164</v>
      </c>
      <c r="F24" s="291">
        <f>'INITIAL DATA'!L33</f>
        <v>24436550.061334919</v>
      </c>
      <c r="G24" s="291">
        <f>'INITIAL DATA'!P33</f>
        <v>26655388.806904133</v>
      </c>
      <c r="H24" s="291">
        <f>'INITIAL DATA'!T33</f>
        <v>28592569.188445892</v>
      </c>
      <c r="J24" s="752"/>
      <c r="K24" s="752"/>
      <c r="L24" s="752"/>
      <c r="M24" s="752"/>
      <c r="N24" s="752"/>
    </row>
    <row r="25" spans="3:14" ht="13.5" customHeight="1">
      <c r="C25" s="317" t="s">
        <v>282</v>
      </c>
      <c r="D25" s="444">
        <f>D24/$E$14</f>
        <v>24.654784350491727</v>
      </c>
      <c r="E25" s="444">
        <f>E24/$E$14</f>
        <v>28.757340466413552</v>
      </c>
      <c r="F25" s="444">
        <f>F24/$E$14</f>
        <v>32.582066748446557</v>
      </c>
      <c r="G25" s="444">
        <f>G24/$E$14</f>
        <v>35.540518409205511</v>
      </c>
      <c r="H25" s="444">
        <f>H24/$E$14</f>
        <v>38.123425584594521</v>
      </c>
      <c r="J25" s="752"/>
      <c r="K25" s="752"/>
      <c r="L25" s="752"/>
      <c r="M25" s="752"/>
      <c r="N25" s="752"/>
    </row>
    <row r="26" spans="3:14" ht="13.5" customHeight="1">
      <c r="C26" s="317" t="s">
        <v>283</v>
      </c>
      <c r="D26" s="445">
        <f>D25*$H$16</f>
        <v>127835.05685729961</v>
      </c>
      <c r="E26" s="445">
        <f t="shared" ref="E26:G26" si="0">E25*$H$16</f>
        <v>149106.81031835426</v>
      </c>
      <c r="F26" s="445">
        <f t="shared" si="0"/>
        <v>168938.0160906954</v>
      </c>
      <c r="G26" s="445">
        <f t="shared" si="0"/>
        <v>184277.58795173059</v>
      </c>
      <c r="H26" s="445">
        <f>H25*$H$16</f>
        <v>197669.96165612258</v>
      </c>
      <c r="J26" s="752"/>
      <c r="K26" s="752"/>
      <c r="L26" s="752"/>
      <c r="M26" s="752"/>
      <c r="N26" s="752"/>
    </row>
    <row r="27" spans="3:14" ht="13.5" customHeight="1">
      <c r="C27" s="317"/>
      <c r="D27" s="317"/>
      <c r="E27" s="317"/>
      <c r="F27" s="317"/>
      <c r="G27" s="317"/>
      <c r="H27" s="317"/>
      <c r="J27" s="248"/>
    </row>
    <row r="29" spans="3:14" ht="13.5" customHeight="1">
      <c r="C29" s="443" t="s">
        <v>25</v>
      </c>
      <c r="D29" s="411" t="s">
        <v>11</v>
      </c>
      <c r="E29" s="411" t="s">
        <v>12</v>
      </c>
      <c r="F29" s="411" t="s">
        <v>13</v>
      </c>
      <c r="G29" s="411" t="s">
        <v>14</v>
      </c>
      <c r="H29" s="411" t="s">
        <v>15</v>
      </c>
    </row>
    <row r="30" spans="3:14" ht="13.5" customHeight="1">
      <c r="C30" s="317" t="s">
        <v>284</v>
      </c>
      <c r="D30" s="291">
        <f>'INITIAL DATA'!D35</f>
        <v>199775567.98564446</v>
      </c>
      <c r="E30" s="291">
        <f>'INITIAL DATA'!H35</f>
        <v>215757613.42449602</v>
      </c>
      <c r="F30" s="291">
        <f>'INITIAL DATA'!L35</f>
        <v>217785734.9906863</v>
      </c>
      <c r="G30" s="291">
        <f>'INITIAL DATA'!P35</f>
        <v>215564320.4937813</v>
      </c>
      <c r="H30" s="291">
        <f>'INITIAL DATA'!T35</f>
        <v>207459102.0432151</v>
      </c>
    </row>
    <row r="31" spans="3:14" ht="13.5" customHeight="1">
      <c r="C31" s="317" t="s">
        <v>282</v>
      </c>
      <c r="D31" s="444">
        <f>D30/$E$17</f>
        <v>115.42588372503903</v>
      </c>
      <c r="E31" s="444">
        <f>E30/$E$17</f>
        <v>124.65995442304215</v>
      </c>
      <c r="F31" s="444">
        <f>F30/$E$17</f>
        <v>125.83175799461875</v>
      </c>
      <c r="G31" s="444">
        <f>G30/$E$17</f>
        <v>124.54827406307363</v>
      </c>
      <c r="H31" s="444">
        <f>H30/$E$17</f>
        <v>119.86525895830205</v>
      </c>
    </row>
    <row r="32" spans="3:14" ht="13.5" customHeight="1">
      <c r="C32" s="317" t="s">
        <v>283</v>
      </c>
      <c r="D32" s="445">
        <f>D31*$H$13</f>
        <v>598483.20711432735</v>
      </c>
      <c r="E32" s="445">
        <f>E31*$H$13</f>
        <v>646361.86368347355</v>
      </c>
      <c r="F32" s="445">
        <f>F31*$H$13</f>
        <v>652437.6652020982</v>
      </c>
      <c r="G32" s="445">
        <f>G31*$H$13</f>
        <v>645782.80101703678</v>
      </c>
      <c r="H32" s="445">
        <f>H31*$H$13</f>
        <v>621501.36769879609</v>
      </c>
    </row>
  </sheetData>
  <mergeCells count="13">
    <mergeCell ref="J24:N26"/>
    <mergeCell ref="J12:K13"/>
    <mergeCell ref="C21:H21"/>
    <mergeCell ref="G12:H12"/>
    <mergeCell ref="G13:G15"/>
    <mergeCell ref="H13:H15"/>
    <mergeCell ref="G16:G18"/>
    <mergeCell ref="H16:H18"/>
    <mergeCell ref="F7:G7"/>
    <mergeCell ref="C13:C15"/>
    <mergeCell ref="C16:C18"/>
    <mergeCell ref="C7:D7"/>
    <mergeCell ref="C12:E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64647-3F3F-4D2A-AB4F-EB5A36C4159B}">
  <sheetPr>
    <tabColor rgb="FF00B050"/>
  </sheetPr>
  <dimension ref="A1:CJ29"/>
  <sheetViews>
    <sheetView zoomScale="85" zoomScaleNormal="85" workbookViewId="0">
      <selection activeCell="A5" sqref="A1:XFD5"/>
    </sheetView>
  </sheetViews>
  <sheetFormatPr defaultColWidth="8.7109375" defaultRowHeight="14.25"/>
  <cols>
    <col min="1" max="1" width="6.28515625" style="11" customWidth="1"/>
    <col min="2" max="2" width="20.140625" style="11" customWidth="1"/>
    <col min="3" max="3" width="21" style="11" customWidth="1"/>
    <col min="4" max="4" width="16.42578125" style="11" customWidth="1"/>
    <col min="5" max="5" width="14" style="11" customWidth="1"/>
    <col min="6" max="7" width="3" style="11" customWidth="1"/>
    <col min="8" max="8" width="20.140625" style="11" customWidth="1"/>
    <col min="9" max="9" width="18.7109375" style="11" customWidth="1"/>
    <col min="10" max="11" width="14" style="11" customWidth="1"/>
    <col min="12" max="13" width="2.140625" style="11" customWidth="1"/>
    <col min="14" max="14" width="20.140625" style="11" customWidth="1"/>
    <col min="15" max="15" width="18.7109375" style="11" customWidth="1"/>
    <col min="16" max="17" width="14" style="11" customWidth="1"/>
    <col min="18" max="21" width="8.7109375" style="11"/>
    <col min="22" max="22" width="4" style="11" customWidth="1"/>
    <col min="23" max="28" width="8.7109375" style="11"/>
    <col min="29" max="29" width="2.28515625" style="11" customWidth="1"/>
    <col min="30" max="31" width="8.7109375" style="11"/>
    <col min="32" max="32" width="2.42578125" style="11" customWidth="1"/>
    <col min="33" max="16384" width="8.7109375" style="11"/>
  </cols>
  <sheetData>
    <row r="1" spans="1:39" s="258" customFormat="1" ht="22.9" customHeight="1">
      <c r="B1" s="259"/>
    </row>
    <row r="2" spans="1:39" s="258" customFormat="1" ht="22.9" customHeight="1">
      <c r="B2" s="259"/>
      <c r="C2" s="325" t="s">
        <v>369</v>
      </c>
      <c r="D2" s="260"/>
    </row>
    <row r="3" spans="1:39" s="258" customFormat="1" ht="22.9" customHeight="1">
      <c r="B3" s="259"/>
      <c r="C3" s="325" t="s">
        <v>381</v>
      </c>
      <c r="D3" s="260"/>
    </row>
    <row r="4" spans="1:39" s="258" customFormat="1" ht="22.9" customHeight="1">
      <c r="B4" s="259"/>
      <c r="C4" s="261"/>
    </row>
    <row r="5" spans="1:39" s="258" customFormat="1" ht="15.75" customHeight="1">
      <c r="B5" s="259"/>
      <c r="C5" s="261"/>
    </row>
    <row r="6" spans="1:39">
      <c r="Z6" s="262"/>
      <c r="AA6" s="262"/>
      <c r="AB6" s="262"/>
      <c r="AC6" s="262"/>
      <c r="AD6" s="262"/>
      <c r="AE6" s="262"/>
      <c r="AF6" s="262"/>
      <c r="AG6" s="262"/>
      <c r="AH6" s="262"/>
      <c r="AI6" s="262"/>
      <c r="AJ6" s="262"/>
      <c r="AK6" s="262"/>
      <c r="AL6" s="262"/>
      <c r="AM6" s="262"/>
    </row>
    <row r="7" spans="1:39" ht="15">
      <c r="B7" s="348" t="s">
        <v>303</v>
      </c>
      <c r="Z7" s="262"/>
      <c r="AA7" s="262"/>
      <c r="AB7" s="262"/>
      <c r="AC7" s="262"/>
      <c r="AD7" s="262"/>
      <c r="AE7" s="262"/>
      <c r="AF7" s="262"/>
      <c r="AG7" s="262"/>
      <c r="AH7" s="262"/>
      <c r="AI7" s="262"/>
      <c r="AJ7" s="262"/>
      <c r="AK7" s="262"/>
      <c r="AL7" s="262"/>
      <c r="AM7" s="262"/>
    </row>
    <row r="8" spans="1:39" ht="15" thickBot="1">
      <c r="A8" s="263"/>
      <c r="B8" s="263"/>
      <c r="C8" s="263"/>
      <c r="D8" s="263"/>
      <c r="E8" s="263"/>
      <c r="F8" s="263"/>
      <c r="G8" s="263"/>
      <c r="H8" s="263"/>
      <c r="I8" s="263"/>
      <c r="J8" s="263"/>
      <c r="K8" s="263"/>
      <c r="L8" s="263"/>
      <c r="M8" s="263"/>
      <c r="N8" s="263"/>
      <c r="O8" s="263"/>
      <c r="P8" s="263"/>
      <c r="Q8" s="263"/>
      <c r="R8" s="263"/>
      <c r="S8" s="263"/>
      <c r="T8" s="263"/>
      <c r="U8" s="263"/>
      <c r="V8" s="263"/>
      <c r="W8" s="263"/>
      <c r="X8" s="263"/>
      <c r="Y8" s="263"/>
      <c r="Z8" s="262"/>
      <c r="AA8" s="262"/>
      <c r="AB8" s="262"/>
      <c r="AC8" s="262"/>
      <c r="AD8" s="262"/>
      <c r="AE8" s="262"/>
      <c r="AF8" s="262"/>
      <c r="AG8" s="262"/>
      <c r="AH8" s="262"/>
      <c r="AI8" s="262"/>
      <c r="AJ8" s="262"/>
      <c r="AK8" s="262"/>
      <c r="AL8" s="262"/>
      <c r="AM8" s="262"/>
    </row>
    <row r="9" spans="1:39" ht="15" customHeight="1">
      <c r="A9" s="263"/>
      <c r="B9" s="536" t="s">
        <v>0</v>
      </c>
      <c r="C9" s="537"/>
      <c r="D9" s="537"/>
      <c r="E9" s="538"/>
      <c r="F9" s="263"/>
      <c r="G9" s="263"/>
      <c r="H9" s="542" t="s">
        <v>1</v>
      </c>
      <c r="I9" s="543"/>
      <c r="J9" s="543"/>
      <c r="K9" s="544"/>
      <c r="L9" s="263"/>
      <c r="M9" s="263"/>
      <c r="N9" s="548" t="s">
        <v>2</v>
      </c>
      <c r="O9" s="549"/>
      <c r="P9" s="549"/>
      <c r="Q9" s="550"/>
      <c r="R9" s="263"/>
      <c r="S9" s="263"/>
      <c r="T9" s="535"/>
      <c r="U9" s="535"/>
      <c r="V9" s="535"/>
      <c r="W9" s="263"/>
      <c r="X9" s="263"/>
      <c r="Y9" s="263"/>
      <c r="Z9" s="534"/>
      <c r="AA9" s="534"/>
      <c r="AB9" s="534"/>
      <c r="AC9" s="262"/>
      <c r="AD9" s="262"/>
      <c r="AE9" s="262"/>
      <c r="AF9" s="262"/>
      <c r="AG9" s="534"/>
      <c r="AH9" s="534"/>
      <c r="AI9" s="534"/>
      <c r="AJ9" s="262"/>
      <c r="AK9" s="262"/>
      <c r="AL9" s="262"/>
      <c r="AM9" s="262"/>
    </row>
    <row r="10" spans="1:39" ht="15" customHeight="1" thickBot="1">
      <c r="A10" s="263"/>
      <c r="B10" s="539"/>
      <c r="C10" s="540"/>
      <c r="D10" s="540"/>
      <c r="E10" s="541"/>
      <c r="F10" s="263"/>
      <c r="G10" s="263"/>
      <c r="H10" s="545"/>
      <c r="I10" s="546"/>
      <c r="J10" s="546"/>
      <c r="K10" s="547"/>
      <c r="L10" s="263"/>
      <c r="M10" s="263"/>
      <c r="N10" s="551"/>
      <c r="O10" s="552"/>
      <c r="P10" s="552"/>
      <c r="Q10" s="553"/>
      <c r="R10" s="263"/>
      <c r="S10" s="263"/>
      <c r="T10" s="535"/>
      <c r="U10" s="535"/>
      <c r="V10" s="535"/>
      <c r="W10" s="263"/>
      <c r="X10" s="263"/>
      <c r="Y10" s="263"/>
      <c r="Z10" s="534"/>
      <c r="AA10" s="534"/>
      <c r="AB10" s="534"/>
      <c r="AC10" s="262"/>
      <c r="AD10" s="262"/>
      <c r="AE10" s="262"/>
      <c r="AF10" s="262"/>
      <c r="AG10" s="534"/>
      <c r="AH10" s="534"/>
      <c r="AI10" s="534"/>
      <c r="AJ10" s="262"/>
      <c r="AK10" s="262"/>
      <c r="AL10" s="262"/>
      <c r="AM10" s="262"/>
    </row>
    <row r="11" spans="1:39" ht="15" thickBot="1">
      <c r="A11" s="263"/>
      <c r="B11" s="263"/>
      <c r="C11" s="263"/>
      <c r="D11" s="263"/>
      <c r="E11" s="263"/>
      <c r="F11" s="263"/>
      <c r="G11" s="263"/>
      <c r="H11" s="263"/>
      <c r="I11" s="263"/>
      <c r="J11" s="263"/>
      <c r="K11" s="263"/>
      <c r="L11" s="263"/>
      <c r="M11" s="263"/>
      <c r="N11" s="263"/>
      <c r="O11" s="263"/>
      <c r="P11" s="263"/>
      <c r="Q11" s="263"/>
      <c r="R11" s="263"/>
      <c r="S11" s="263"/>
      <c r="T11" s="263"/>
      <c r="U11" s="263"/>
      <c r="V11" s="263"/>
      <c r="W11" s="263"/>
      <c r="X11" s="263"/>
      <c r="Y11" s="263"/>
      <c r="Z11" s="262"/>
      <c r="AA11" s="262"/>
      <c r="AB11" s="262"/>
      <c r="AC11" s="262"/>
      <c r="AD11" s="262"/>
      <c r="AE11" s="262"/>
      <c r="AF11" s="262"/>
      <c r="AG11" s="262"/>
      <c r="AH11" s="262"/>
      <c r="AI11" s="262"/>
      <c r="AJ11" s="262"/>
      <c r="AK11" s="262"/>
      <c r="AL11" s="262"/>
      <c r="AM11" s="262"/>
    </row>
    <row r="12" spans="1:39" ht="30.75" thickBot="1">
      <c r="A12" s="263"/>
      <c r="B12" s="264" t="s">
        <v>292</v>
      </c>
      <c r="C12" s="265" t="s">
        <v>293</v>
      </c>
      <c r="D12" s="265" t="s">
        <v>5</v>
      </c>
      <c r="E12" s="265" t="s">
        <v>6</v>
      </c>
      <c r="F12" s="263"/>
      <c r="G12" s="263"/>
      <c r="H12" s="264" t="s">
        <v>3</v>
      </c>
      <c r="I12" s="265" t="s">
        <v>4</v>
      </c>
      <c r="J12" s="265" t="s">
        <v>5</v>
      </c>
      <c r="K12" s="265" t="s">
        <v>6</v>
      </c>
      <c r="L12" s="266"/>
      <c r="M12" s="263"/>
      <c r="N12" s="264" t="s">
        <v>3</v>
      </c>
      <c r="O12" s="265" t="s">
        <v>4</v>
      </c>
      <c r="P12" s="265" t="s">
        <v>5</v>
      </c>
      <c r="Q12" s="265" t="s">
        <v>6</v>
      </c>
      <c r="R12" s="263"/>
      <c r="S12" s="263"/>
      <c r="T12" s="263"/>
      <c r="U12" s="263"/>
      <c r="V12" s="263"/>
      <c r="W12" s="263"/>
      <c r="X12" s="263"/>
      <c r="Y12" s="263"/>
      <c r="Z12" s="262"/>
      <c r="AA12" s="262"/>
      <c r="AB12" s="262"/>
      <c r="AC12" s="262"/>
      <c r="AD12" s="262"/>
      <c r="AE12" s="262"/>
      <c r="AF12" s="262"/>
      <c r="AG12" s="262"/>
      <c r="AH12" s="262"/>
      <c r="AI12" s="262"/>
      <c r="AJ12" s="262"/>
      <c r="AK12" s="262"/>
      <c r="AL12" s="262"/>
      <c r="AM12" s="262"/>
    </row>
    <row r="13" spans="1:39" ht="35.450000000000003" customHeight="1" thickBot="1">
      <c r="A13" s="263"/>
      <c r="B13" s="446" t="s">
        <v>294</v>
      </c>
      <c r="C13" s="339" t="s">
        <v>305</v>
      </c>
      <c r="D13" s="339">
        <v>1</v>
      </c>
      <c r="E13" s="339">
        <v>1</v>
      </c>
      <c r="F13" s="263"/>
      <c r="G13" s="263"/>
      <c r="H13" s="446" t="s">
        <v>294</v>
      </c>
      <c r="I13" s="339" t="s">
        <v>305</v>
      </c>
      <c r="J13" s="339">
        <v>2</v>
      </c>
      <c r="K13" s="339">
        <v>1</v>
      </c>
      <c r="L13" s="266"/>
      <c r="M13" s="263"/>
      <c r="N13" s="446" t="s">
        <v>294</v>
      </c>
      <c r="O13" s="339" t="s">
        <v>305</v>
      </c>
      <c r="P13" s="339">
        <v>2</v>
      </c>
      <c r="Q13" s="339">
        <v>1</v>
      </c>
      <c r="R13" s="263"/>
      <c r="S13" s="263"/>
      <c r="T13" s="263"/>
      <c r="U13" s="263"/>
      <c r="V13" s="263"/>
      <c r="W13" s="263"/>
      <c r="X13" s="263"/>
      <c r="Y13" s="263"/>
      <c r="Z13" s="262"/>
      <c r="AA13" s="262"/>
      <c r="AB13" s="262"/>
      <c r="AC13" s="262"/>
      <c r="AD13" s="262"/>
      <c r="AE13" s="262"/>
      <c r="AF13" s="262"/>
      <c r="AG13" s="262"/>
      <c r="AH13" s="262"/>
      <c r="AI13" s="262"/>
      <c r="AJ13" s="262"/>
      <c r="AK13" s="262"/>
      <c r="AL13" s="262"/>
      <c r="AM13" s="262"/>
    </row>
    <row r="14" spans="1:39" ht="30" customHeight="1" thickBot="1">
      <c r="A14" s="263"/>
      <c r="B14" s="446" t="s">
        <v>294</v>
      </c>
      <c r="C14" s="339" t="s">
        <v>306</v>
      </c>
      <c r="D14" s="339">
        <v>1</v>
      </c>
      <c r="E14" s="339">
        <v>1</v>
      </c>
      <c r="F14" s="263"/>
      <c r="G14" s="263"/>
      <c r="H14" s="446" t="s">
        <v>294</v>
      </c>
      <c r="I14" s="339" t="s">
        <v>306</v>
      </c>
      <c r="J14" s="339">
        <v>1</v>
      </c>
      <c r="K14" s="339">
        <v>1</v>
      </c>
      <c r="L14" s="266"/>
      <c r="M14" s="263"/>
      <c r="N14" s="446" t="s">
        <v>294</v>
      </c>
      <c r="O14" s="339" t="s">
        <v>306</v>
      </c>
      <c r="P14" s="339">
        <v>1</v>
      </c>
      <c r="Q14" s="339">
        <v>1</v>
      </c>
      <c r="R14" s="263"/>
      <c r="S14" s="263"/>
      <c r="T14" s="263"/>
      <c r="U14" s="263"/>
      <c r="V14" s="263"/>
      <c r="W14" s="263"/>
      <c r="X14" s="263"/>
      <c r="Y14" s="263"/>
      <c r="Z14" s="262"/>
      <c r="AA14" s="262"/>
      <c r="AB14" s="262"/>
      <c r="AC14" s="262"/>
      <c r="AD14" s="262"/>
      <c r="AE14" s="262"/>
      <c r="AF14" s="262"/>
      <c r="AG14" s="262"/>
      <c r="AH14" s="262"/>
      <c r="AI14" s="262"/>
      <c r="AJ14" s="262"/>
      <c r="AK14" s="262"/>
      <c r="AL14" s="262"/>
      <c r="AM14" s="262"/>
    </row>
    <row r="15" spans="1:39" ht="26.1" customHeight="1" thickBot="1">
      <c r="A15" s="263"/>
      <c r="B15" s="446" t="s">
        <v>295</v>
      </c>
      <c r="C15" s="339" t="s">
        <v>307</v>
      </c>
      <c r="D15" s="339">
        <v>1</v>
      </c>
      <c r="E15" s="339">
        <v>1</v>
      </c>
      <c r="F15" s="263"/>
      <c r="G15" s="263"/>
      <c r="H15" s="446" t="s">
        <v>295</v>
      </c>
      <c r="I15" s="339" t="s">
        <v>307</v>
      </c>
      <c r="J15" s="339">
        <v>1</v>
      </c>
      <c r="K15" s="339">
        <v>1</v>
      </c>
      <c r="L15" s="266"/>
      <c r="M15" s="263"/>
      <c r="N15" s="446" t="s">
        <v>295</v>
      </c>
      <c r="O15" s="339" t="s">
        <v>307</v>
      </c>
      <c r="P15" s="339">
        <v>1</v>
      </c>
      <c r="Q15" s="339">
        <v>1</v>
      </c>
      <c r="R15" s="263"/>
      <c r="S15" s="263"/>
      <c r="T15" s="263"/>
      <c r="U15" s="263"/>
      <c r="V15" s="263"/>
      <c r="W15" s="263"/>
      <c r="X15" s="263"/>
      <c r="Y15" s="263"/>
      <c r="Z15" s="262"/>
      <c r="AA15" s="262"/>
      <c r="AB15" s="262"/>
      <c r="AC15" s="262"/>
      <c r="AD15" s="262"/>
      <c r="AE15" s="262"/>
      <c r="AF15" s="262"/>
      <c r="AG15" s="262"/>
      <c r="AH15" s="262"/>
      <c r="AI15" s="262"/>
      <c r="AJ15" s="262"/>
      <c r="AK15" s="262"/>
      <c r="AL15" s="262"/>
      <c r="AM15" s="262"/>
    </row>
    <row r="16" spans="1:39" ht="30.6" customHeight="1" thickBot="1">
      <c r="A16" s="263"/>
      <c r="B16" s="446" t="s">
        <v>295</v>
      </c>
      <c r="C16" s="339" t="s">
        <v>308</v>
      </c>
      <c r="D16" s="339">
        <v>1</v>
      </c>
      <c r="E16" s="339">
        <v>1</v>
      </c>
      <c r="F16" s="263"/>
      <c r="G16" s="263"/>
      <c r="H16" s="446" t="s">
        <v>295</v>
      </c>
      <c r="I16" s="339" t="s">
        <v>308</v>
      </c>
      <c r="J16" s="339">
        <v>1</v>
      </c>
      <c r="K16" s="339">
        <v>1</v>
      </c>
      <c r="L16" s="266"/>
      <c r="M16" s="263"/>
      <c r="N16" s="446" t="s">
        <v>295</v>
      </c>
      <c r="O16" s="339" t="s">
        <v>308</v>
      </c>
      <c r="P16" s="339">
        <v>1</v>
      </c>
      <c r="Q16" s="339">
        <v>1</v>
      </c>
      <c r="R16" s="263"/>
      <c r="S16" s="263"/>
      <c r="T16" s="263"/>
      <c r="U16" s="263"/>
      <c r="V16" s="263"/>
      <c r="W16" s="263"/>
      <c r="X16" s="263"/>
      <c r="Y16" s="263"/>
      <c r="Z16" s="262"/>
      <c r="AA16" s="262"/>
      <c r="AB16" s="262"/>
      <c r="AC16" s="262"/>
      <c r="AD16" s="262"/>
      <c r="AE16" s="262"/>
      <c r="AF16" s="262"/>
      <c r="AG16" s="262"/>
      <c r="AH16" s="262"/>
      <c r="AI16" s="262"/>
      <c r="AJ16" s="262"/>
      <c r="AK16" s="262"/>
      <c r="AL16" s="262"/>
      <c r="AM16" s="262"/>
    </row>
    <row r="17" spans="1:88" ht="33" customHeight="1" thickBot="1">
      <c r="A17" s="263"/>
      <c r="B17" s="446" t="s">
        <v>296</v>
      </c>
      <c r="C17" s="339" t="s">
        <v>309</v>
      </c>
      <c r="D17" s="339">
        <v>1</v>
      </c>
      <c r="E17" s="339">
        <v>1</v>
      </c>
      <c r="F17" s="263"/>
      <c r="G17" s="263"/>
      <c r="H17" s="446" t="s">
        <v>296</v>
      </c>
      <c r="I17" s="339" t="s">
        <v>309</v>
      </c>
      <c r="J17" s="339">
        <v>1</v>
      </c>
      <c r="K17" s="339">
        <v>1</v>
      </c>
      <c r="L17" s="266"/>
      <c r="M17" s="263"/>
      <c r="N17" s="446" t="s">
        <v>296</v>
      </c>
      <c r="O17" s="339" t="s">
        <v>309</v>
      </c>
      <c r="P17" s="339">
        <v>1</v>
      </c>
      <c r="Q17" s="339">
        <v>1</v>
      </c>
      <c r="R17" s="263"/>
      <c r="S17" s="263"/>
      <c r="T17" s="263"/>
      <c r="U17" s="263"/>
      <c r="V17" s="263"/>
      <c r="W17" s="263"/>
      <c r="X17" s="263"/>
      <c r="Y17" s="263"/>
      <c r="Z17" s="262"/>
      <c r="AA17" s="262"/>
      <c r="AB17" s="262"/>
      <c r="AC17" s="262"/>
      <c r="AD17" s="262"/>
      <c r="AE17" s="262"/>
      <c r="AF17" s="262"/>
      <c r="AG17" s="262"/>
      <c r="AH17" s="262"/>
      <c r="AI17" s="262"/>
      <c r="AJ17" s="262"/>
      <c r="AK17" s="262"/>
      <c r="AL17" s="262"/>
      <c r="AM17" s="262"/>
    </row>
    <row r="18" spans="1:88" ht="36.6" customHeight="1" thickBot="1">
      <c r="A18" s="263"/>
      <c r="B18" s="263"/>
      <c r="C18" s="263"/>
      <c r="D18" s="263"/>
      <c r="E18" s="263"/>
      <c r="F18" s="263"/>
      <c r="G18" s="263"/>
      <c r="H18" s="446" t="s">
        <v>297</v>
      </c>
      <c r="I18" s="339" t="s">
        <v>310</v>
      </c>
      <c r="J18" s="339">
        <v>1</v>
      </c>
      <c r="K18" s="339">
        <v>1</v>
      </c>
      <c r="L18" s="266"/>
      <c r="M18" s="263"/>
      <c r="N18" s="446" t="s">
        <v>297</v>
      </c>
      <c r="O18" s="339" t="s">
        <v>310</v>
      </c>
      <c r="P18" s="339">
        <v>1</v>
      </c>
      <c r="Q18" s="339">
        <v>1</v>
      </c>
      <c r="R18" s="263"/>
      <c r="S18" s="263"/>
      <c r="T18" s="263"/>
      <c r="U18" s="263"/>
      <c r="V18" s="263"/>
      <c r="W18" s="263"/>
      <c r="X18" s="263"/>
      <c r="Y18" s="263"/>
      <c r="Z18" s="262"/>
      <c r="AA18" s="262"/>
      <c r="AB18" s="262"/>
      <c r="AC18" s="262"/>
      <c r="AD18" s="262"/>
      <c r="AE18" s="262"/>
      <c r="AF18" s="262"/>
      <c r="AG18" s="262"/>
      <c r="AH18" s="262"/>
      <c r="AI18" s="262"/>
      <c r="AJ18" s="262"/>
      <c r="AK18" s="262"/>
      <c r="AL18" s="262"/>
      <c r="AM18" s="262"/>
    </row>
    <row r="19" spans="1:88" ht="36.6" customHeight="1" thickBot="1">
      <c r="A19" s="263"/>
      <c r="B19" s="263"/>
      <c r="C19" s="263"/>
      <c r="D19" s="263"/>
      <c r="E19" s="263"/>
      <c r="F19" s="263"/>
      <c r="G19" s="263"/>
      <c r="H19" s="446" t="s">
        <v>298</v>
      </c>
      <c r="I19" s="339" t="s">
        <v>311</v>
      </c>
      <c r="J19" s="339">
        <v>1</v>
      </c>
      <c r="K19" s="339">
        <v>1</v>
      </c>
      <c r="L19" s="266"/>
      <c r="M19" s="263"/>
      <c r="N19" s="446" t="s">
        <v>298</v>
      </c>
      <c r="O19" s="339" t="s">
        <v>311</v>
      </c>
      <c r="P19" s="339">
        <v>1</v>
      </c>
      <c r="Q19" s="339">
        <v>1</v>
      </c>
      <c r="R19" s="263"/>
      <c r="S19" s="263"/>
      <c r="T19" s="263"/>
      <c r="U19" s="263"/>
      <c r="V19" s="263"/>
      <c r="W19" s="263"/>
      <c r="X19" s="263"/>
      <c r="Y19" s="263"/>
      <c r="Z19" s="262"/>
      <c r="AA19" s="262"/>
      <c r="AB19" s="262"/>
      <c r="AC19" s="262"/>
      <c r="AD19" s="262"/>
      <c r="AE19" s="262"/>
      <c r="AF19" s="262"/>
      <c r="AG19" s="262"/>
      <c r="AH19" s="262"/>
      <c r="AI19" s="262"/>
      <c r="AJ19" s="262"/>
      <c r="AK19" s="262"/>
      <c r="AL19" s="262"/>
      <c r="AM19" s="262"/>
    </row>
    <row r="20" spans="1:88" ht="33" customHeight="1" thickBot="1">
      <c r="A20" s="263"/>
      <c r="B20" s="263"/>
      <c r="C20" s="263"/>
      <c r="D20" s="263"/>
      <c r="E20" s="263"/>
      <c r="F20" s="263"/>
      <c r="G20" s="263"/>
      <c r="H20" s="446" t="s">
        <v>299</v>
      </c>
      <c r="I20" s="339" t="s">
        <v>312</v>
      </c>
      <c r="J20" s="339">
        <v>1</v>
      </c>
      <c r="K20" s="339">
        <v>1</v>
      </c>
      <c r="L20" s="266"/>
      <c r="M20" s="263"/>
      <c r="N20" s="446" t="s">
        <v>299</v>
      </c>
      <c r="O20" s="339" t="s">
        <v>312</v>
      </c>
      <c r="P20" s="339">
        <v>1</v>
      </c>
      <c r="Q20" s="339">
        <v>5</v>
      </c>
      <c r="R20" s="263"/>
      <c r="S20" s="263"/>
      <c r="T20" s="263"/>
      <c r="U20" s="263"/>
      <c r="V20" s="263"/>
      <c r="W20" s="263"/>
      <c r="X20" s="263"/>
      <c r="Y20" s="263"/>
      <c r="Z20" s="262"/>
      <c r="AA20" s="262"/>
      <c r="AB20" s="262"/>
      <c r="AC20" s="262"/>
      <c r="AD20" s="262"/>
      <c r="AE20" s="262"/>
      <c r="AF20" s="262"/>
      <c r="AG20" s="262"/>
      <c r="AH20" s="262"/>
      <c r="AI20" s="262"/>
      <c r="AJ20" s="262"/>
      <c r="AK20" s="262"/>
      <c r="AL20" s="262"/>
      <c r="AM20" s="262"/>
    </row>
    <row r="21" spans="1:88" ht="39.6" customHeight="1" thickBot="1">
      <c r="A21" s="263"/>
      <c r="B21" s="263"/>
      <c r="C21" s="263"/>
      <c r="D21" s="263"/>
      <c r="E21" s="263"/>
      <c r="F21" s="263"/>
      <c r="G21" s="263"/>
      <c r="H21" s="266"/>
      <c r="I21" s="266"/>
      <c r="J21" s="266"/>
      <c r="K21" s="266"/>
      <c r="L21" s="266"/>
      <c r="M21" s="263"/>
      <c r="N21" s="446" t="s">
        <v>300</v>
      </c>
      <c r="O21" s="339" t="s">
        <v>313</v>
      </c>
      <c r="P21" s="339">
        <v>1</v>
      </c>
      <c r="Q21" s="339">
        <v>5</v>
      </c>
      <c r="R21" s="263"/>
      <c r="S21" s="263"/>
      <c r="T21" s="263"/>
      <c r="U21" s="263"/>
      <c r="V21" s="263"/>
      <c r="W21" s="263"/>
      <c r="X21" s="263"/>
      <c r="Y21" s="263"/>
      <c r="Z21" s="262"/>
      <c r="AA21" s="262"/>
      <c r="AB21" s="262"/>
      <c r="AC21" s="262"/>
      <c r="AD21" s="262"/>
      <c r="AE21" s="262"/>
      <c r="AF21" s="262"/>
      <c r="AG21" s="262"/>
      <c r="AH21" s="262"/>
      <c r="AI21" s="262"/>
      <c r="AJ21" s="262"/>
      <c r="AK21" s="262"/>
      <c r="AL21" s="262"/>
      <c r="AM21" s="262"/>
    </row>
    <row r="22" spans="1:88" ht="35.25" customHeight="1" thickBot="1">
      <c r="A22" s="263"/>
      <c r="B22" s="263"/>
      <c r="C22" s="263"/>
      <c r="D22" s="263"/>
      <c r="E22" s="263"/>
      <c r="F22" s="263"/>
      <c r="G22" s="263"/>
      <c r="H22" s="263"/>
      <c r="I22" s="263"/>
      <c r="J22" s="263"/>
      <c r="K22" s="263"/>
      <c r="L22" s="263"/>
      <c r="M22" s="263"/>
      <c r="N22" s="446" t="s">
        <v>301</v>
      </c>
      <c r="O22" s="339" t="s">
        <v>314</v>
      </c>
      <c r="P22" s="339">
        <v>1</v>
      </c>
      <c r="Q22" s="339">
        <v>5</v>
      </c>
      <c r="R22" s="263"/>
      <c r="S22" s="263"/>
      <c r="T22" s="263"/>
      <c r="U22" s="263"/>
      <c r="V22" s="263"/>
      <c r="W22" s="263"/>
      <c r="X22" s="263"/>
      <c r="Y22" s="263"/>
      <c r="Z22" s="262"/>
      <c r="AA22" s="262"/>
      <c r="AB22" s="262"/>
      <c r="AC22" s="262"/>
      <c r="AD22" s="262"/>
      <c r="AE22" s="262"/>
      <c r="AF22" s="262"/>
      <c r="AG22" s="262"/>
      <c r="AH22" s="262"/>
      <c r="AI22" s="262"/>
      <c r="AJ22" s="262"/>
      <c r="AK22" s="262"/>
      <c r="AL22" s="262"/>
      <c r="AM22" s="262"/>
    </row>
    <row r="23" spans="1:88" ht="35.25" customHeight="1" thickBot="1">
      <c r="A23" s="263"/>
      <c r="B23" s="263"/>
      <c r="C23" s="263"/>
      <c r="D23" s="263"/>
      <c r="E23" s="263"/>
      <c r="F23" s="263"/>
      <c r="G23" s="263"/>
      <c r="H23" s="263"/>
      <c r="I23" s="263"/>
      <c r="J23" s="263"/>
      <c r="K23" s="263"/>
      <c r="L23" s="263"/>
      <c r="M23" s="263"/>
      <c r="N23" s="446" t="s">
        <v>302</v>
      </c>
      <c r="O23" s="339" t="s">
        <v>315</v>
      </c>
      <c r="P23" s="339">
        <v>1</v>
      </c>
      <c r="Q23" s="339">
        <v>5</v>
      </c>
      <c r="R23" s="263"/>
      <c r="S23" s="263"/>
      <c r="T23" s="263"/>
      <c r="U23" s="263"/>
      <c r="V23" s="263"/>
      <c r="W23" s="263"/>
      <c r="X23" s="263"/>
      <c r="Y23" s="263"/>
      <c r="Z23" s="262"/>
      <c r="AA23" s="262"/>
      <c r="AB23" s="262"/>
      <c r="AC23" s="262"/>
      <c r="AD23" s="262"/>
      <c r="AE23" s="262"/>
      <c r="AF23" s="262"/>
      <c r="AG23" s="262"/>
      <c r="AH23" s="262"/>
      <c r="AI23" s="262"/>
      <c r="AJ23" s="262"/>
      <c r="AK23" s="262"/>
      <c r="AL23" s="262"/>
      <c r="AM23" s="262"/>
    </row>
    <row r="24" spans="1:88">
      <c r="A24" s="263"/>
      <c r="B24" s="263"/>
      <c r="C24" s="263"/>
      <c r="D24" s="263"/>
      <c r="E24" s="263"/>
      <c r="F24" s="263"/>
      <c r="G24" s="263"/>
      <c r="H24" s="263"/>
      <c r="I24" s="263"/>
      <c r="J24" s="263"/>
      <c r="K24" s="263"/>
      <c r="L24" s="263"/>
      <c r="M24" s="263"/>
      <c r="N24" s="263"/>
      <c r="O24" s="263"/>
      <c r="P24" s="263"/>
      <c r="Q24" s="263"/>
      <c r="R24" s="263"/>
      <c r="S24" s="263"/>
      <c r="T24" s="263"/>
      <c r="U24" s="263"/>
      <c r="V24" s="263"/>
      <c r="W24" s="263"/>
      <c r="X24" s="263"/>
      <c r="Y24" s="263"/>
      <c r="Z24" s="262"/>
      <c r="AA24" s="262"/>
      <c r="AB24" s="262"/>
      <c r="AC24" s="262"/>
      <c r="AD24" s="262"/>
      <c r="AE24" s="262"/>
      <c r="AF24" s="262"/>
      <c r="AG24" s="262"/>
      <c r="AH24" s="262"/>
      <c r="AI24" s="262"/>
      <c r="AJ24" s="262"/>
      <c r="AK24" s="262"/>
      <c r="AL24" s="262"/>
      <c r="AM24" s="262"/>
    </row>
    <row r="25" spans="1:88">
      <c r="A25" s="263"/>
      <c r="B25" s="263"/>
      <c r="C25" s="263"/>
      <c r="D25" s="263"/>
      <c r="E25" s="263"/>
      <c r="F25" s="263"/>
      <c r="G25" s="263"/>
      <c r="H25" s="263"/>
      <c r="I25" s="263"/>
      <c r="J25" s="263"/>
      <c r="K25" s="263"/>
      <c r="L25" s="263"/>
      <c r="M25" s="263"/>
      <c r="N25" s="263"/>
      <c r="O25" s="263"/>
      <c r="P25" s="263"/>
      <c r="Q25" s="263"/>
      <c r="R25" s="263"/>
      <c r="S25" s="263"/>
      <c r="T25" s="263"/>
      <c r="U25" s="263"/>
      <c r="V25" s="263"/>
      <c r="W25" s="263"/>
      <c r="X25" s="263"/>
      <c r="Y25" s="263"/>
      <c r="Z25" s="262"/>
      <c r="AA25" s="262"/>
      <c r="AB25" s="262"/>
      <c r="AC25" s="262"/>
      <c r="AD25" s="262"/>
      <c r="AE25" s="262"/>
      <c r="AF25" s="262"/>
      <c r="AG25" s="262"/>
      <c r="AH25" s="262"/>
      <c r="AI25" s="262"/>
      <c r="AJ25" s="262"/>
      <c r="AK25" s="262"/>
      <c r="AL25" s="262"/>
      <c r="AM25" s="262"/>
    </row>
    <row r="26" spans="1:88" ht="117" customHeight="1">
      <c r="A26" s="263"/>
      <c r="B26" s="263"/>
      <c r="C26" s="263"/>
      <c r="D26" s="263"/>
      <c r="E26" s="263"/>
      <c r="F26" s="263"/>
      <c r="G26" s="263"/>
      <c r="H26" s="263"/>
      <c r="I26" s="263"/>
      <c r="J26" s="263"/>
      <c r="K26" s="263"/>
      <c r="L26" s="263"/>
      <c r="M26" s="263"/>
      <c r="N26" s="263"/>
      <c r="O26" s="263"/>
      <c r="P26" s="263"/>
      <c r="Q26" s="263"/>
      <c r="R26" s="263"/>
      <c r="S26" s="263"/>
      <c r="T26" s="263"/>
      <c r="U26" s="263"/>
      <c r="V26" s="263"/>
      <c r="W26" s="263"/>
      <c r="X26" s="263"/>
      <c r="Y26" s="263"/>
      <c r="Z26" s="262"/>
      <c r="AA26" s="262"/>
      <c r="AB26" s="262"/>
      <c r="AC26" s="262"/>
      <c r="AD26" s="262"/>
      <c r="AE26" s="262"/>
      <c r="AF26" s="262"/>
      <c r="AG26" s="262"/>
      <c r="AH26" s="262"/>
      <c r="AI26" s="262"/>
      <c r="AJ26" s="262"/>
      <c r="AK26" s="262"/>
      <c r="AL26" s="262"/>
      <c r="AM26" s="262"/>
    </row>
    <row r="27" spans="1:88" s="263" customFormat="1">
      <c r="Z27" s="262"/>
      <c r="AA27" s="262"/>
      <c r="AB27" s="262"/>
      <c r="AC27" s="262"/>
      <c r="AD27" s="262"/>
      <c r="AE27" s="262"/>
      <c r="AF27" s="262"/>
      <c r="AG27" s="262"/>
      <c r="AH27" s="262"/>
      <c r="AI27" s="262"/>
      <c r="AJ27" s="262"/>
      <c r="AK27" s="262"/>
      <c r="AL27" s="262"/>
      <c r="AM27" s="262"/>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row>
    <row r="28" spans="1:88" s="263" customFormat="1" ht="69.75" customHeight="1">
      <c r="Z28" s="262"/>
      <c r="AA28" s="262"/>
      <c r="AB28" s="262"/>
      <c r="AC28" s="262"/>
      <c r="AD28" s="262"/>
      <c r="AE28" s="262"/>
      <c r="AF28" s="262"/>
      <c r="AG28" s="262"/>
      <c r="AH28" s="262"/>
      <c r="AI28" s="262"/>
      <c r="AJ28" s="262"/>
      <c r="AK28" s="262"/>
      <c r="AL28" s="262"/>
      <c r="AM28" s="262"/>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row>
    <row r="29" spans="1:88">
      <c r="U29" s="267"/>
      <c r="V29" s="267"/>
      <c r="W29" s="267"/>
      <c r="X29" s="267"/>
      <c r="Y29" s="267"/>
      <c r="Z29" s="262"/>
      <c r="AA29" s="262"/>
      <c r="AB29" s="262"/>
      <c r="AC29" s="262"/>
      <c r="AD29" s="262"/>
      <c r="AE29" s="262"/>
      <c r="AF29" s="262"/>
      <c r="AG29" s="262"/>
      <c r="AH29" s="262"/>
      <c r="AI29" s="262"/>
      <c r="AJ29" s="262"/>
      <c r="AK29" s="262"/>
      <c r="AL29" s="262"/>
      <c r="AM29" s="262"/>
    </row>
  </sheetData>
  <mergeCells count="6">
    <mergeCell ref="AG9:AI10"/>
    <mergeCell ref="T9:V10"/>
    <mergeCell ref="Z9:AB10"/>
    <mergeCell ref="B9:E10"/>
    <mergeCell ref="H9:K10"/>
    <mergeCell ref="N9:Q10"/>
  </mergeCells>
  <phoneticPr fontId="33"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6A027-8A27-4E0A-A4FA-FF895CD68DD8}">
  <sheetPr>
    <tabColor rgb="FFFFFF00"/>
  </sheetPr>
  <dimension ref="B1:AM79"/>
  <sheetViews>
    <sheetView workbookViewId="0">
      <selection activeCell="E13" sqref="E13"/>
    </sheetView>
  </sheetViews>
  <sheetFormatPr defaultRowHeight="15"/>
  <cols>
    <col min="2" max="2" width="23.85546875" customWidth="1"/>
    <col min="3" max="4" width="18.28515625" customWidth="1"/>
    <col min="5" max="10" width="13.28515625" customWidth="1"/>
  </cols>
  <sheetData>
    <row r="1" spans="2:39" s="258" customFormat="1" ht="22.9" customHeight="1">
      <c r="B1" s="259"/>
    </row>
    <row r="2" spans="2:39" s="258" customFormat="1" ht="22.9" customHeight="1">
      <c r="B2" s="259"/>
      <c r="C2" s="325" t="s">
        <v>369</v>
      </c>
      <c r="D2" s="260"/>
    </row>
    <row r="3" spans="2:39" s="258" customFormat="1" ht="22.9" customHeight="1">
      <c r="B3" s="259"/>
      <c r="C3" s="325" t="s">
        <v>381</v>
      </c>
      <c r="D3" s="260"/>
    </row>
    <row r="4" spans="2:39" s="258" customFormat="1" ht="22.9" customHeight="1">
      <c r="B4" s="259"/>
      <c r="C4" s="261"/>
    </row>
    <row r="5" spans="2:39" s="258" customFormat="1" ht="15.75" customHeight="1">
      <c r="B5" s="259"/>
      <c r="C5" s="261"/>
    </row>
    <row r="9" spans="2:39" s="11" customFormat="1">
      <c r="B9" s="348" t="s">
        <v>394</v>
      </c>
      <c r="U9" s="267"/>
      <c r="V9" s="267"/>
      <c r="W9" s="267"/>
      <c r="X9" s="267"/>
      <c r="Y9" s="267"/>
      <c r="Z9" s="262"/>
      <c r="AA9" s="262"/>
      <c r="AB9" s="262"/>
      <c r="AC9" s="262"/>
      <c r="AD9" s="262"/>
      <c r="AE9" s="262"/>
      <c r="AF9" s="262"/>
      <c r="AG9" s="262"/>
      <c r="AH9" s="262"/>
      <c r="AI9" s="262"/>
      <c r="AJ9" s="262"/>
      <c r="AK9" s="262"/>
      <c r="AL9" s="262"/>
      <c r="AM9" s="262"/>
    </row>
    <row r="10" spans="2:39" s="11" customFormat="1" ht="21" customHeight="1">
      <c r="B10" s="347" t="s">
        <v>317</v>
      </c>
      <c r="C10" s="347" t="s">
        <v>316</v>
      </c>
      <c r="D10" s="347" t="s">
        <v>397</v>
      </c>
      <c r="U10" s="267"/>
      <c r="V10" s="267"/>
      <c r="W10" s="267"/>
      <c r="X10" s="267"/>
      <c r="Y10" s="267"/>
      <c r="Z10" s="262"/>
      <c r="AA10" s="262"/>
      <c r="AB10" s="262"/>
      <c r="AC10" s="262"/>
      <c r="AD10" s="262"/>
      <c r="AE10" s="262"/>
      <c r="AF10" s="262"/>
      <c r="AG10" s="262"/>
      <c r="AH10" s="262"/>
      <c r="AI10" s="262"/>
      <c r="AJ10" s="262"/>
      <c r="AK10" s="262"/>
      <c r="AL10" s="262"/>
      <c r="AM10" s="262"/>
    </row>
    <row r="11" spans="2:39" s="11" customFormat="1" ht="14.25">
      <c r="B11" s="340" t="s">
        <v>294</v>
      </c>
      <c r="C11" s="352">
        <v>284326</v>
      </c>
      <c r="D11" s="353">
        <v>284326</v>
      </c>
      <c r="U11" s="267"/>
      <c r="V11" s="267"/>
      <c r="W11" s="267"/>
      <c r="X11" s="267"/>
      <c r="Y11" s="267"/>
      <c r="Z11" s="262"/>
      <c r="AA11" s="262"/>
      <c r="AB11" s="262"/>
      <c r="AC11" s="262"/>
      <c r="AD11" s="262"/>
      <c r="AE11" s="262"/>
      <c r="AF11" s="262"/>
      <c r="AG11" s="262"/>
      <c r="AH11" s="262"/>
      <c r="AI11" s="262"/>
      <c r="AJ11" s="262"/>
      <c r="AK11" s="262"/>
      <c r="AL11" s="262"/>
      <c r="AM11" s="262"/>
    </row>
    <row r="12" spans="2:39" s="11" customFormat="1" ht="14.25">
      <c r="B12" s="340" t="s">
        <v>295</v>
      </c>
      <c r="C12" s="352">
        <v>173347</v>
      </c>
      <c r="D12" s="353">
        <v>173347</v>
      </c>
      <c r="U12" s="267"/>
      <c r="V12" s="267"/>
      <c r="W12" s="267"/>
      <c r="X12" s="267"/>
      <c r="Y12" s="267"/>
      <c r="Z12" s="262"/>
      <c r="AA12" s="262"/>
      <c r="AB12" s="262"/>
      <c r="AC12" s="262"/>
      <c r="AD12" s="262"/>
      <c r="AE12" s="262"/>
      <c r="AF12" s="262"/>
      <c r="AG12" s="262"/>
      <c r="AH12" s="262"/>
      <c r="AI12" s="262"/>
      <c r="AJ12" s="262"/>
      <c r="AK12" s="262"/>
      <c r="AL12" s="262"/>
      <c r="AM12" s="262"/>
    </row>
    <row r="13" spans="2:39" s="11" customFormat="1" ht="14.25">
      <c r="B13" s="340" t="s">
        <v>296</v>
      </c>
      <c r="C13" s="352">
        <v>94209</v>
      </c>
      <c r="D13" s="353">
        <v>94209</v>
      </c>
      <c r="U13" s="267"/>
      <c r="V13" s="267"/>
      <c r="W13" s="267"/>
      <c r="X13" s="267"/>
      <c r="Y13" s="267"/>
      <c r="Z13" s="262"/>
      <c r="AA13" s="262"/>
      <c r="AB13" s="262"/>
      <c r="AC13" s="262"/>
      <c r="AD13" s="262"/>
      <c r="AE13" s="262"/>
      <c r="AF13" s="262"/>
      <c r="AG13" s="262"/>
      <c r="AH13" s="262"/>
      <c r="AI13" s="262"/>
      <c r="AJ13" s="262"/>
      <c r="AK13" s="262"/>
      <c r="AL13" s="262"/>
      <c r="AM13" s="262"/>
    </row>
    <row r="14" spans="2:39" s="11" customFormat="1" ht="14.25">
      <c r="B14" s="340" t="s">
        <v>297</v>
      </c>
      <c r="C14" s="352">
        <v>22132</v>
      </c>
      <c r="D14" s="353">
        <v>22132</v>
      </c>
      <c r="U14" s="267"/>
      <c r="V14" s="267"/>
      <c r="W14" s="267"/>
      <c r="X14" s="267"/>
      <c r="Y14" s="267"/>
      <c r="Z14" s="262"/>
      <c r="AA14" s="262"/>
      <c r="AB14" s="262"/>
      <c r="AC14" s="262"/>
      <c r="AD14" s="262"/>
      <c r="AE14" s="262"/>
      <c r="AF14" s="262"/>
      <c r="AG14" s="262"/>
      <c r="AH14" s="262"/>
      <c r="AI14" s="262"/>
      <c r="AJ14" s="262"/>
      <c r="AK14" s="262"/>
      <c r="AL14" s="262"/>
      <c r="AM14" s="262"/>
    </row>
    <row r="15" spans="2:39" s="11" customFormat="1" ht="14.25">
      <c r="B15" s="340" t="s">
        <v>298</v>
      </c>
      <c r="C15" s="352">
        <v>30619</v>
      </c>
      <c r="D15" s="353">
        <v>30619</v>
      </c>
      <c r="U15" s="267"/>
      <c r="V15" s="267"/>
      <c r="W15" s="267"/>
      <c r="X15" s="267"/>
      <c r="Y15" s="267"/>
      <c r="Z15" s="262"/>
      <c r="AA15" s="262"/>
      <c r="AB15" s="262"/>
      <c r="AC15" s="262"/>
      <c r="AD15" s="262"/>
      <c r="AE15" s="262"/>
      <c r="AF15" s="262"/>
      <c r="AG15" s="262"/>
      <c r="AH15" s="262"/>
      <c r="AI15" s="262"/>
      <c r="AJ15" s="262"/>
      <c r="AK15" s="262"/>
      <c r="AL15" s="262"/>
      <c r="AM15" s="262"/>
    </row>
    <row r="16" spans="2:39" s="11" customFormat="1" ht="14.25">
      <c r="B16" s="340" t="s">
        <v>299</v>
      </c>
      <c r="C16" s="352">
        <v>30399</v>
      </c>
      <c r="D16" s="353">
        <v>30399</v>
      </c>
      <c r="U16" s="267"/>
      <c r="V16" s="267"/>
      <c r="W16" s="267"/>
      <c r="X16" s="267"/>
      <c r="Y16" s="267"/>
      <c r="Z16" s="262"/>
      <c r="AA16" s="262"/>
      <c r="AB16" s="262"/>
      <c r="AC16" s="262"/>
      <c r="AD16" s="262"/>
      <c r="AE16" s="262"/>
      <c r="AF16" s="262"/>
      <c r="AG16" s="262"/>
      <c r="AH16" s="262"/>
      <c r="AI16" s="262"/>
      <c r="AJ16" s="262"/>
      <c r="AK16" s="262"/>
      <c r="AL16" s="262"/>
      <c r="AM16" s="262"/>
    </row>
    <row r="17" spans="2:25" s="11" customFormat="1" ht="14.25">
      <c r="B17" s="340" t="s">
        <v>300</v>
      </c>
      <c r="C17" s="352">
        <v>30326</v>
      </c>
      <c r="D17" s="353">
        <v>30326</v>
      </c>
      <c r="U17" s="267"/>
      <c r="V17" s="267"/>
      <c r="W17" s="267"/>
      <c r="X17" s="267"/>
      <c r="Y17" s="267"/>
    </row>
    <row r="18" spans="2:25" s="11" customFormat="1" ht="14.25">
      <c r="B18" s="340" t="s">
        <v>301</v>
      </c>
      <c r="C18" s="352">
        <v>52006</v>
      </c>
      <c r="D18" s="353">
        <v>52006</v>
      </c>
      <c r="U18" s="267"/>
      <c r="V18" s="267"/>
      <c r="W18" s="267"/>
      <c r="X18" s="267"/>
      <c r="Y18" s="267"/>
    </row>
    <row r="19" spans="2:25" s="11" customFormat="1" ht="14.25">
      <c r="B19" s="340" t="s">
        <v>302</v>
      </c>
      <c r="C19" s="352">
        <v>4091</v>
      </c>
      <c r="D19" s="353">
        <v>4091</v>
      </c>
      <c r="U19" s="267"/>
      <c r="V19" s="267"/>
      <c r="W19" s="267"/>
      <c r="X19" s="267"/>
      <c r="Y19" s="267"/>
    </row>
    <row r="20" spans="2:25" s="11" customFormat="1" ht="14.25">
      <c r="U20" s="267"/>
      <c r="V20" s="267"/>
      <c r="W20" s="267"/>
      <c r="X20" s="267"/>
      <c r="Y20" s="267"/>
    </row>
    <row r="21" spans="2:25" s="11" customFormat="1">
      <c r="B21" s="348" t="s">
        <v>395</v>
      </c>
      <c r="U21" s="267"/>
      <c r="V21" s="267"/>
      <c r="W21" s="267"/>
      <c r="X21" s="267"/>
      <c r="Y21" s="267"/>
    </row>
    <row r="22" spans="2:25" s="11" customFormat="1" ht="30">
      <c r="B22" s="347" t="s">
        <v>57</v>
      </c>
      <c r="C22" s="347" t="s">
        <v>59</v>
      </c>
      <c r="D22" s="347" t="s">
        <v>397</v>
      </c>
      <c r="U22" s="267"/>
      <c r="V22" s="267"/>
      <c r="W22" s="267"/>
      <c r="X22" s="267"/>
      <c r="Y22" s="267"/>
    </row>
    <row r="23" spans="2:25" s="11" customFormat="1" ht="14.25">
      <c r="B23" s="350" t="s">
        <v>23</v>
      </c>
      <c r="C23" s="341">
        <v>24133333.333333336</v>
      </c>
      <c r="D23" s="353">
        <v>24133333.333333336</v>
      </c>
      <c r="U23" s="267"/>
      <c r="V23" s="267"/>
      <c r="W23" s="267"/>
      <c r="X23" s="267"/>
      <c r="Y23" s="267"/>
    </row>
    <row r="24" spans="2:25" s="11" customFormat="1" ht="14.25">
      <c r="B24" s="350" t="s">
        <v>24</v>
      </c>
      <c r="C24" s="341">
        <v>7161764.7058823528</v>
      </c>
      <c r="D24" s="353">
        <v>7161764.7058823528</v>
      </c>
      <c r="U24" s="267"/>
      <c r="V24" s="267"/>
      <c r="W24" s="267"/>
      <c r="X24" s="267"/>
      <c r="Y24" s="267"/>
    </row>
    <row r="25" spans="2:25" s="11" customFormat="1" ht="14.25">
      <c r="B25" s="350" t="s">
        <v>62</v>
      </c>
      <c r="C25" s="341">
        <v>265846153.84615386</v>
      </c>
      <c r="D25" s="353">
        <v>265846153.84615386</v>
      </c>
      <c r="U25" s="267"/>
      <c r="V25" s="267"/>
      <c r="W25" s="267"/>
      <c r="X25" s="267"/>
      <c r="Y25" s="267"/>
    </row>
    <row r="26" spans="2:25" s="11" customFormat="1" ht="14.25">
      <c r="B26" s="350" t="s">
        <v>27</v>
      </c>
      <c r="C26" s="341">
        <v>21464000</v>
      </c>
      <c r="D26" s="353">
        <v>21464000</v>
      </c>
      <c r="U26" s="267"/>
      <c r="V26" s="267"/>
      <c r="W26" s="267"/>
      <c r="X26" s="267"/>
      <c r="Y26" s="267"/>
    </row>
    <row r="27" spans="2:25" s="11" customFormat="1" ht="14.25">
      <c r="U27" s="267"/>
      <c r="V27" s="267"/>
      <c r="W27" s="267"/>
      <c r="X27" s="267"/>
      <c r="Y27" s="267"/>
    </row>
    <row r="28" spans="2:25" s="11" customFormat="1" ht="14.25">
      <c r="U28" s="267"/>
      <c r="V28" s="267"/>
      <c r="W28" s="267"/>
      <c r="X28" s="267"/>
      <c r="Y28" s="267"/>
    </row>
    <row r="29" spans="2:25" s="11" customFormat="1">
      <c r="B29" s="348" t="s">
        <v>396</v>
      </c>
      <c r="D29" s="11" t="s">
        <v>319</v>
      </c>
      <c r="U29" s="267"/>
      <c r="V29" s="267"/>
      <c r="W29" s="267"/>
      <c r="X29" s="267"/>
      <c r="Y29" s="267"/>
    </row>
    <row r="30" spans="2:25" s="11" customFormat="1" ht="20.25" customHeight="1">
      <c r="B30" s="554" t="s">
        <v>322</v>
      </c>
      <c r="C30" s="554"/>
      <c r="D30" s="347" t="s">
        <v>397</v>
      </c>
    </row>
    <row r="31" spans="2:25" s="11" customFormat="1" ht="50.25" customHeight="1">
      <c r="B31" s="350" t="s">
        <v>98</v>
      </c>
      <c r="C31" s="342">
        <v>23516</v>
      </c>
      <c r="D31" s="354">
        <v>23516</v>
      </c>
      <c r="E31" s="555" t="s">
        <v>318</v>
      </c>
      <c r="F31" s="556"/>
      <c r="G31" s="556"/>
      <c r="H31" s="556"/>
      <c r="I31" s="556"/>
      <c r="J31" s="556"/>
    </row>
    <row r="32" spans="2:25" s="11" customFormat="1" ht="28.5">
      <c r="B32" s="350" t="s">
        <v>287</v>
      </c>
      <c r="C32" s="342">
        <v>5000</v>
      </c>
      <c r="D32" s="354">
        <v>5000</v>
      </c>
    </row>
    <row r="33" spans="2:4" s="11" customFormat="1" ht="14.25">
      <c r="B33" s="350" t="s">
        <v>286</v>
      </c>
      <c r="C33" s="342">
        <v>5000</v>
      </c>
      <c r="D33" s="354">
        <v>5000</v>
      </c>
    </row>
    <row r="34" spans="2:4" s="11" customFormat="1" ht="28.5">
      <c r="B34" s="350" t="s">
        <v>285</v>
      </c>
      <c r="C34" s="342">
        <v>400</v>
      </c>
      <c r="D34" s="354">
        <v>400</v>
      </c>
    </row>
    <row r="35" spans="2:4" s="11" customFormat="1" ht="14.25">
      <c r="B35" s="350" t="s">
        <v>105</v>
      </c>
      <c r="C35" s="342">
        <v>2000</v>
      </c>
      <c r="D35" s="354">
        <v>2000</v>
      </c>
    </row>
    <row r="36" spans="2:4" s="11" customFormat="1" ht="14.25">
      <c r="B36" s="350" t="s">
        <v>106</v>
      </c>
      <c r="C36" s="342">
        <v>60000</v>
      </c>
      <c r="D36" s="354">
        <v>60000</v>
      </c>
    </row>
    <row r="37" spans="2:4" s="11" customFormat="1" ht="14.25">
      <c r="B37" s="350" t="s">
        <v>107</v>
      </c>
      <c r="C37" s="342">
        <v>9000</v>
      </c>
      <c r="D37" s="354">
        <v>9000</v>
      </c>
    </row>
    <row r="38" spans="2:4" s="11" customFormat="1" ht="14.25">
      <c r="B38" s="350" t="s">
        <v>27</v>
      </c>
      <c r="C38" s="342">
        <v>5000</v>
      </c>
      <c r="D38" s="354">
        <v>5000</v>
      </c>
    </row>
    <row r="39" spans="2:4" s="11" customFormat="1" ht="14.25"/>
    <row r="40" spans="2:4" s="11" customFormat="1" ht="20.25" customHeight="1">
      <c r="B40" s="554" t="s">
        <v>108</v>
      </c>
      <c r="C40" s="554"/>
      <c r="D40" s="347" t="s">
        <v>397</v>
      </c>
    </row>
    <row r="41" spans="2:4" s="11" customFormat="1" ht="28.5">
      <c r="B41" s="350" t="s">
        <v>109</v>
      </c>
      <c r="C41" s="343">
        <v>130000</v>
      </c>
      <c r="D41" s="354">
        <v>130000</v>
      </c>
    </row>
    <row r="42" spans="2:4" s="11" customFormat="1" ht="28.5">
      <c r="B42" s="350" t="s">
        <v>110</v>
      </c>
      <c r="C42" s="343">
        <v>116000</v>
      </c>
      <c r="D42" s="354">
        <v>116000</v>
      </c>
    </row>
    <row r="43" spans="2:4" s="11" customFormat="1" ht="14.25">
      <c r="B43" s="350" t="s">
        <v>320</v>
      </c>
      <c r="C43" s="343">
        <v>0</v>
      </c>
      <c r="D43" s="354">
        <v>0</v>
      </c>
    </row>
    <row r="44" spans="2:4" s="11" customFormat="1" ht="14.25">
      <c r="B44" s="351" t="s">
        <v>321</v>
      </c>
      <c r="C44" s="343">
        <v>0</v>
      </c>
      <c r="D44" s="354">
        <v>0</v>
      </c>
    </row>
    <row r="45" spans="2:4" s="11" customFormat="1" ht="14.25"/>
    <row r="46" spans="2:4" s="11" customFormat="1" ht="24.75" customHeight="1">
      <c r="B46" s="554" t="s">
        <v>323</v>
      </c>
      <c r="C46" s="554"/>
      <c r="D46" s="347" t="s">
        <v>397</v>
      </c>
    </row>
    <row r="47" spans="2:4" s="11" customFormat="1" ht="28.5">
      <c r="B47" s="350" t="s">
        <v>121</v>
      </c>
      <c r="C47" s="343">
        <v>20000</v>
      </c>
      <c r="D47" s="354">
        <v>20000</v>
      </c>
    </row>
    <row r="48" spans="2:4" s="11" customFormat="1" ht="14.25">
      <c r="B48" s="350" t="s">
        <v>123</v>
      </c>
      <c r="C48" s="343">
        <v>1.6</v>
      </c>
      <c r="D48" s="354">
        <v>1.6</v>
      </c>
    </row>
    <row r="49" spans="2:4" s="11" customFormat="1" ht="14.25">
      <c r="B49" s="350" t="s">
        <v>125</v>
      </c>
      <c r="C49" s="343">
        <v>0.5</v>
      </c>
      <c r="D49" s="354">
        <v>0.5</v>
      </c>
    </row>
    <row r="50" spans="2:4" s="11" customFormat="1" ht="42.75">
      <c r="B50" s="350" t="s">
        <v>130</v>
      </c>
      <c r="C50" s="343">
        <v>42000</v>
      </c>
      <c r="D50" s="354">
        <v>42000</v>
      </c>
    </row>
    <row r="51" spans="2:4" s="11" customFormat="1" ht="28.5">
      <c r="B51" s="350" t="s">
        <v>133</v>
      </c>
      <c r="C51" s="340">
        <v>48</v>
      </c>
      <c r="D51" s="353">
        <v>48</v>
      </c>
    </row>
    <row r="52" spans="2:4" s="11" customFormat="1" ht="28.5">
      <c r="B52" s="350" t="s">
        <v>134</v>
      </c>
      <c r="C52" s="340">
        <v>40</v>
      </c>
      <c r="D52" s="353">
        <v>40</v>
      </c>
    </row>
    <row r="53" spans="2:4" s="11" customFormat="1" ht="42.75">
      <c r="B53" s="350" t="s">
        <v>327</v>
      </c>
      <c r="C53" s="340">
        <v>4</v>
      </c>
      <c r="D53" s="353">
        <v>4</v>
      </c>
    </row>
    <row r="54" spans="2:4" s="11" customFormat="1" ht="14.25"/>
    <row r="55" spans="2:4" s="11" customFormat="1" ht="24" customHeight="1">
      <c r="B55" s="554" t="s">
        <v>326</v>
      </c>
      <c r="C55" s="554"/>
      <c r="D55" s="347" t="s">
        <v>397</v>
      </c>
    </row>
    <row r="56" spans="2:4" s="11" customFormat="1" ht="28.5">
      <c r="B56" s="350" t="s">
        <v>171</v>
      </c>
      <c r="C56" s="343">
        <v>40000</v>
      </c>
      <c r="D56" s="354">
        <v>40000</v>
      </c>
    </row>
    <row r="57" spans="2:4" s="11" customFormat="1" ht="14.25">
      <c r="B57" s="350" t="s">
        <v>172</v>
      </c>
      <c r="C57" s="343">
        <v>12000</v>
      </c>
      <c r="D57" s="354">
        <v>12000</v>
      </c>
    </row>
    <row r="58" spans="2:4" s="11" customFormat="1" ht="28.5">
      <c r="B58" s="350" t="s">
        <v>173</v>
      </c>
      <c r="C58" s="343">
        <v>10000</v>
      </c>
      <c r="D58" s="354">
        <v>10000</v>
      </c>
    </row>
    <row r="59" spans="2:4" s="11" customFormat="1" ht="28.5">
      <c r="B59" s="350" t="s">
        <v>174</v>
      </c>
      <c r="C59" s="343">
        <v>5000</v>
      </c>
      <c r="D59" s="354">
        <v>5000</v>
      </c>
    </row>
    <row r="60" spans="2:4" s="11" customFormat="1" ht="14.25"/>
    <row r="61" spans="2:4" s="11" customFormat="1" ht="22.5" customHeight="1">
      <c r="B61" s="554" t="s">
        <v>340</v>
      </c>
      <c r="C61" s="554"/>
      <c r="D61" s="347" t="s">
        <v>397</v>
      </c>
    </row>
    <row r="62" spans="2:4" s="11" customFormat="1" ht="28.5">
      <c r="B62" s="350" t="s">
        <v>349</v>
      </c>
      <c r="C62" s="344">
        <v>40</v>
      </c>
      <c r="D62" s="354">
        <v>40</v>
      </c>
    </row>
    <row r="63" spans="2:4" s="11" customFormat="1" ht="28.5">
      <c r="B63" s="350" t="s">
        <v>343</v>
      </c>
      <c r="C63" s="344">
        <v>40</v>
      </c>
      <c r="D63" s="354">
        <v>40</v>
      </c>
    </row>
    <row r="64" spans="2:4" s="11" customFormat="1" ht="28.5">
      <c r="B64" s="350" t="s">
        <v>347</v>
      </c>
      <c r="C64" s="344">
        <v>40</v>
      </c>
      <c r="D64" s="354">
        <v>40</v>
      </c>
    </row>
    <row r="65" spans="2:4" s="11" customFormat="1" ht="28.5">
      <c r="B65" s="350" t="s">
        <v>350</v>
      </c>
      <c r="C65" s="344">
        <v>40</v>
      </c>
      <c r="D65" s="354">
        <v>40</v>
      </c>
    </row>
    <row r="66" spans="2:4" s="11" customFormat="1" ht="28.5">
      <c r="B66" s="350" t="s">
        <v>346</v>
      </c>
      <c r="C66" s="344">
        <v>40</v>
      </c>
      <c r="D66" s="354">
        <v>40</v>
      </c>
    </row>
    <row r="67" spans="2:4" s="11" customFormat="1" ht="28.5">
      <c r="B67" s="350" t="s">
        <v>341</v>
      </c>
      <c r="C67" s="344">
        <v>40</v>
      </c>
      <c r="D67" s="354">
        <v>40</v>
      </c>
    </row>
    <row r="68" spans="2:4" s="11" customFormat="1" ht="28.5">
      <c r="B68" s="350" t="s">
        <v>342</v>
      </c>
      <c r="C68" s="344">
        <v>40</v>
      </c>
      <c r="D68" s="354">
        <v>40</v>
      </c>
    </row>
    <row r="69" spans="2:4" s="11" customFormat="1" ht="28.5">
      <c r="B69" s="350" t="s">
        <v>348</v>
      </c>
      <c r="C69" s="344">
        <v>40</v>
      </c>
      <c r="D69" s="354">
        <v>40</v>
      </c>
    </row>
    <row r="70" spans="2:4" s="11" customFormat="1" ht="28.5">
      <c r="B70" s="350" t="s">
        <v>345</v>
      </c>
      <c r="C70" s="344">
        <v>40</v>
      </c>
      <c r="D70" s="354">
        <v>40</v>
      </c>
    </row>
    <row r="71" spans="2:4" s="11" customFormat="1" ht="28.5">
      <c r="B71" s="350" t="s">
        <v>344</v>
      </c>
      <c r="C71" s="344">
        <v>40</v>
      </c>
      <c r="D71" s="354">
        <v>40</v>
      </c>
    </row>
    <row r="72" spans="2:4" s="11" customFormat="1" ht="14.25"/>
    <row r="73" spans="2:4" s="11" customFormat="1" ht="21" customHeight="1">
      <c r="B73" s="554" t="s">
        <v>264</v>
      </c>
      <c r="C73" s="554"/>
      <c r="D73" s="347" t="s">
        <v>397</v>
      </c>
    </row>
    <row r="74" spans="2:4" s="11" customFormat="1" ht="14.25">
      <c r="B74" s="350" t="s">
        <v>269</v>
      </c>
      <c r="C74" s="344">
        <v>340</v>
      </c>
      <c r="D74" s="354">
        <v>340</v>
      </c>
    </row>
    <row r="75" spans="2:4" s="11" customFormat="1" ht="14.25">
      <c r="B75" s="350" t="s">
        <v>271</v>
      </c>
      <c r="C75" s="344">
        <v>250</v>
      </c>
      <c r="D75" s="354">
        <v>250</v>
      </c>
    </row>
    <row r="76" spans="2:4" s="11" customFormat="1" ht="14.25">
      <c r="B76" s="350" t="s">
        <v>274</v>
      </c>
      <c r="C76" s="344">
        <v>400</v>
      </c>
      <c r="D76" s="354">
        <v>400</v>
      </c>
    </row>
    <row r="77" spans="2:4" s="11" customFormat="1" ht="14.25">
      <c r="B77" s="350" t="s">
        <v>277</v>
      </c>
      <c r="C77" s="344">
        <v>600</v>
      </c>
      <c r="D77" s="354">
        <v>600</v>
      </c>
    </row>
    <row r="78" spans="2:4" s="11" customFormat="1" ht="14.25">
      <c r="B78" s="350" t="s">
        <v>288</v>
      </c>
      <c r="C78" s="344">
        <v>2350</v>
      </c>
      <c r="D78" s="354">
        <v>2350</v>
      </c>
    </row>
    <row r="79" spans="2:4" s="11" customFormat="1" ht="28.5">
      <c r="B79" s="350" t="s">
        <v>279</v>
      </c>
      <c r="C79" s="344">
        <v>120</v>
      </c>
      <c r="D79" s="354">
        <v>120</v>
      </c>
    </row>
  </sheetData>
  <mergeCells count="7">
    <mergeCell ref="B61:C61"/>
    <mergeCell ref="B73:C73"/>
    <mergeCell ref="B55:C55"/>
    <mergeCell ref="B30:C30"/>
    <mergeCell ref="B40:C40"/>
    <mergeCell ref="B46:C46"/>
    <mergeCell ref="E31:J3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29759-B54F-9640-AEC4-0448209FB031}">
  <sheetPr>
    <tabColor rgb="FF7030A0"/>
    <pageSetUpPr fitToPage="1"/>
  </sheetPr>
  <dimension ref="B1:V587"/>
  <sheetViews>
    <sheetView topLeftCell="K1" zoomScale="55" zoomScaleNormal="55" workbookViewId="0">
      <selection activeCell="F7" sqref="F7:N7"/>
    </sheetView>
  </sheetViews>
  <sheetFormatPr defaultColWidth="10.7109375" defaultRowHeight="14.25"/>
  <cols>
    <col min="1" max="1" width="4.28515625" style="29" customWidth="1"/>
    <col min="2" max="2" width="24.42578125" style="29" customWidth="1"/>
    <col min="3" max="3" width="35.28515625" style="29" customWidth="1"/>
    <col min="4" max="4" width="20.7109375" style="29" customWidth="1"/>
    <col min="5" max="6" width="22" style="29" customWidth="1"/>
    <col min="7" max="7" width="20.7109375" style="29" customWidth="1"/>
    <col min="8" max="9" width="20.28515625" style="29" customWidth="1"/>
    <col min="10" max="10" width="19.28515625" style="29" customWidth="1"/>
    <col min="11" max="11" width="4.7109375" style="29" customWidth="1"/>
    <col min="12" max="12" width="29.28515625" style="29" customWidth="1"/>
    <col min="13" max="13" width="60.85546875" style="29" customWidth="1"/>
    <col min="14" max="15" width="22.7109375" style="29" customWidth="1"/>
    <col min="16" max="16" width="22.42578125" style="29" customWidth="1"/>
    <col min="17" max="17" width="22" style="29" customWidth="1"/>
    <col min="18" max="18" width="21.7109375" style="29" customWidth="1"/>
    <col min="19" max="19" width="6.7109375" style="29" customWidth="1"/>
    <col min="20" max="16384" width="10.7109375" style="29"/>
  </cols>
  <sheetData>
    <row r="1" spans="2:20" s="258" customFormat="1" ht="22.9" customHeight="1">
      <c r="B1" s="259"/>
    </row>
    <row r="2" spans="2:20" s="258" customFormat="1" ht="22.9" customHeight="1">
      <c r="B2" s="259"/>
      <c r="C2" s="324" t="s">
        <v>369</v>
      </c>
      <c r="D2" s="260"/>
    </row>
    <row r="3" spans="2:20" s="258" customFormat="1" ht="22.9" customHeight="1">
      <c r="B3" s="259"/>
      <c r="C3" s="324" t="s">
        <v>381</v>
      </c>
      <c r="D3" s="260"/>
    </row>
    <row r="4" spans="2:20" s="258" customFormat="1" ht="22.9" customHeight="1">
      <c r="B4" s="259"/>
      <c r="C4" s="261"/>
    </row>
    <row r="5" spans="2:20" s="258" customFormat="1" ht="22.9" customHeight="1">
      <c r="B5" s="259"/>
      <c r="C5" s="261"/>
    </row>
    <row r="6" spans="2:20" s="7" customFormat="1" ht="35.25" customHeight="1">
      <c r="E6" s="9"/>
      <c r="F6" s="9"/>
      <c r="G6" s="9"/>
    </row>
    <row r="7" spans="2:20" s="7" customFormat="1" ht="88.5" customHeight="1">
      <c r="E7" s="9"/>
      <c r="F7" s="562" t="s">
        <v>367</v>
      </c>
      <c r="G7" s="562"/>
      <c r="H7" s="562"/>
      <c r="I7" s="562"/>
      <c r="J7" s="562"/>
      <c r="K7" s="562"/>
      <c r="L7" s="562"/>
      <c r="M7" s="562"/>
      <c r="N7" s="562"/>
    </row>
    <row r="8" spans="2:20" s="7" customFormat="1" ht="20.25" customHeight="1">
      <c r="D8" s="9"/>
      <c r="E8" s="9"/>
      <c r="F8" s="9"/>
      <c r="G8" s="9"/>
    </row>
    <row r="9" spans="2:20" s="7" customFormat="1" ht="20.25" customHeight="1">
      <c r="B9" s="29"/>
      <c r="C9" s="71"/>
      <c r="D9" s="71"/>
      <c r="E9" s="71"/>
      <c r="F9" s="71"/>
      <c r="G9" s="71"/>
      <c r="H9" s="71"/>
      <c r="I9" s="71"/>
      <c r="J9" s="71"/>
      <c r="K9" s="10"/>
      <c r="L9" s="35"/>
      <c r="M9" s="35"/>
      <c r="N9" s="33"/>
      <c r="O9" s="33"/>
      <c r="P9" s="33"/>
      <c r="Q9" s="33"/>
      <c r="R9" s="33"/>
      <c r="S9" s="33"/>
    </row>
    <row r="10" spans="2:20" s="7" customFormat="1" ht="14.25" customHeight="1">
      <c r="B10" s="71"/>
      <c r="C10" s="73"/>
      <c r="D10" s="563" t="s">
        <v>7</v>
      </c>
      <c r="E10" s="563"/>
      <c r="F10" s="563"/>
      <c r="G10" s="73"/>
      <c r="H10" s="73"/>
      <c r="I10" s="73"/>
      <c r="J10" s="73"/>
      <c r="K10" s="74"/>
      <c r="L10" s="75"/>
      <c r="M10" s="567" t="s">
        <v>8</v>
      </c>
      <c r="N10" s="567"/>
      <c r="O10" s="567"/>
      <c r="P10" s="567"/>
      <c r="Q10" s="567"/>
      <c r="R10" s="36"/>
      <c r="S10" s="33"/>
      <c r="T10" s="72"/>
    </row>
    <row r="11" spans="2:20" s="7" customFormat="1" ht="70.349999999999994" customHeight="1">
      <c r="B11" s="71"/>
      <c r="C11" s="73"/>
      <c r="D11" s="563"/>
      <c r="E11" s="563"/>
      <c r="F11" s="563"/>
      <c r="G11" s="77"/>
      <c r="H11" s="77"/>
      <c r="I11" s="77"/>
      <c r="J11" s="73"/>
      <c r="K11" s="74"/>
      <c r="L11" s="75"/>
      <c r="M11" s="567"/>
      <c r="N11" s="567"/>
      <c r="O11" s="567"/>
      <c r="P11" s="567"/>
      <c r="Q11" s="567"/>
      <c r="R11" s="36"/>
      <c r="S11" s="33"/>
      <c r="T11" s="72"/>
    </row>
    <row r="12" spans="2:20" s="7" customFormat="1" ht="50.1" customHeight="1">
      <c r="B12" s="28"/>
      <c r="C12" s="76" t="s">
        <v>9</v>
      </c>
      <c r="D12" s="118">
        <v>2</v>
      </c>
      <c r="E12" s="77"/>
      <c r="F12" s="77"/>
      <c r="G12" s="581" t="s">
        <v>325</v>
      </c>
      <c r="H12" s="582"/>
      <c r="I12" s="119">
        <v>0.3</v>
      </c>
      <c r="J12" s="40" t="s">
        <v>368</v>
      </c>
      <c r="K12" s="78"/>
      <c r="L12" s="79"/>
      <c r="M12" s="75"/>
      <c r="N12" s="75"/>
      <c r="O12" s="75"/>
      <c r="P12" s="75"/>
      <c r="Q12" s="75"/>
      <c r="R12" s="75"/>
      <c r="S12" s="33"/>
    </row>
    <row r="13" spans="2:20" s="7" customFormat="1" ht="34.35" customHeight="1">
      <c r="B13" s="28"/>
      <c r="C13" s="73"/>
      <c r="D13" s="73"/>
      <c r="E13" s="77"/>
      <c r="F13" s="77"/>
      <c r="G13" s="77"/>
      <c r="H13" s="77"/>
      <c r="I13" s="268"/>
      <c r="J13" s="268"/>
      <c r="K13" s="78"/>
      <c r="L13" s="79"/>
      <c r="M13" s="600" t="s">
        <v>10</v>
      </c>
      <c r="N13" s="269" t="s">
        <v>11</v>
      </c>
      <c r="O13" s="269" t="s">
        <v>12</v>
      </c>
      <c r="P13" s="269" t="s">
        <v>13</v>
      </c>
      <c r="Q13" s="269" t="s">
        <v>14</v>
      </c>
      <c r="R13" s="270" t="s">
        <v>15</v>
      </c>
      <c r="S13" s="33"/>
    </row>
    <row r="14" spans="2:20" s="7" customFormat="1" ht="41.1" customHeight="1">
      <c r="B14" s="28"/>
      <c r="C14" s="77"/>
      <c r="D14" s="77"/>
      <c r="E14" s="77"/>
      <c r="F14" s="77"/>
      <c r="G14" s="583" t="s">
        <v>370</v>
      </c>
      <c r="H14" s="584"/>
      <c r="I14" s="119">
        <v>3.4999999999999976E-2</v>
      </c>
      <c r="J14" s="40"/>
      <c r="K14" s="78"/>
      <c r="L14" s="79"/>
      <c r="M14" s="601"/>
      <c r="N14" s="576">
        <f>'INITIAL DATA'!N76</f>
        <v>0.73673587957668896</v>
      </c>
      <c r="O14" s="576">
        <f>'INITIAL DATA'!O76</f>
        <v>0.79567474994282417</v>
      </c>
      <c r="P14" s="576">
        <f>'INITIAL DATA'!P76</f>
        <v>0.8195449924411089</v>
      </c>
      <c r="Q14" s="576">
        <f>'INITIAL DATA'!Q76</f>
        <v>0.82774044236552002</v>
      </c>
      <c r="R14" s="576">
        <f>'INITIAL DATA'!R76</f>
        <v>0.8298097934714338</v>
      </c>
      <c r="S14" s="33"/>
    </row>
    <row r="15" spans="2:20" s="7" customFormat="1" ht="31.35" customHeight="1">
      <c r="B15" s="28"/>
      <c r="C15" s="77"/>
      <c r="D15" s="77"/>
      <c r="E15" s="77"/>
      <c r="F15" s="77"/>
      <c r="G15" s="77"/>
      <c r="H15" s="80"/>
      <c r="I15" s="37"/>
      <c r="J15" s="37"/>
      <c r="K15" s="78"/>
      <c r="L15" s="79"/>
      <c r="M15" s="602"/>
      <c r="N15" s="577"/>
      <c r="O15" s="577"/>
      <c r="P15" s="577"/>
      <c r="Q15" s="577"/>
      <c r="R15" s="577"/>
      <c r="S15" s="33"/>
    </row>
    <row r="16" spans="2:20" s="7" customFormat="1" ht="23.1" customHeight="1">
      <c r="B16" s="28"/>
      <c r="C16" s="592" t="s">
        <v>22</v>
      </c>
      <c r="D16" s="564">
        <v>0.05</v>
      </c>
      <c r="E16" s="77"/>
      <c r="F16" s="77"/>
      <c r="G16" s="596" t="s">
        <v>371</v>
      </c>
      <c r="H16" s="597"/>
      <c r="I16" s="572" t="s">
        <v>17</v>
      </c>
      <c r="J16" s="77"/>
      <c r="K16" s="78"/>
      <c r="L16" s="79"/>
      <c r="M16" s="81"/>
      <c r="N16" s="81"/>
      <c r="O16" s="81"/>
      <c r="P16" s="81"/>
      <c r="Q16" s="81"/>
      <c r="R16" s="81"/>
      <c r="S16" s="33"/>
    </row>
    <row r="17" spans="2:19" s="7" customFormat="1" ht="24" customHeight="1">
      <c r="B17" s="28"/>
      <c r="C17" s="593"/>
      <c r="D17" s="565"/>
      <c r="E17" s="77"/>
      <c r="F17" s="77"/>
      <c r="G17" s="598"/>
      <c r="H17" s="599"/>
      <c r="I17" s="573"/>
      <c r="J17" s="77"/>
      <c r="K17" s="78"/>
      <c r="L17" s="79"/>
      <c r="M17" s="81"/>
      <c r="N17" s="81"/>
      <c r="O17" s="81"/>
      <c r="P17" s="81"/>
      <c r="Q17" s="81"/>
      <c r="R17" s="81"/>
      <c r="S17" s="33"/>
    </row>
    <row r="18" spans="2:19" s="7" customFormat="1" ht="24" customHeight="1">
      <c r="B18" s="28"/>
      <c r="C18" s="77"/>
      <c r="D18" s="77"/>
      <c r="E18" s="77"/>
      <c r="F18" s="77"/>
      <c r="G18" s="77"/>
      <c r="H18" s="77"/>
      <c r="I18" s="77"/>
      <c r="J18" s="77"/>
      <c r="K18" s="78"/>
      <c r="L18" s="79"/>
      <c r="M18" s="559" t="s">
        <v>18</v>
      </c>
      <c r="N18" s="559"/>
      <c r="O18" s="559"/>
      <c r="P18" s="559"/>
      <c r="Q18" s="559"/>
      <c r="R18" s="559"/>
      <c r="S18" s="33"/>
    </row>
    <row r="19" spans="2:19" s="7" customFormat="1" ht="20.25" customHeight="1">
      <c r="B19" s="29"/>
      <c r="C19" s="594" t="s">
        <v>26</v>
      </c>
      <c r="D19" s="574" t="s">
        <v>17</v>
      </c>
      <c r="E19" s="77"/>
      <c r="F19" s="77"/>
      <c r="G19" s="568" t="s">
        <v>373</v>
      </c>
      <c r="H19" s="569"/>
      <c r="I19" s="572" t="s">
        <v>19</v>
      </c>
      <c r="J19" s="77"/>
      <c r="K19" s="78"/>
      <c r="L19" s="82"/>
      <c r="M19" s="83"/>
      <c r="N19" s="269" t="s">
        <v>11</v>
      </c>
      <c r="O19" s="269" t="s">
        <v>12</v>
      </c>
      <c r="P19" s="269" t="s">
        <v>13</v>
      </c>
      <c r="Q19" s="269" t="s">
        <v>14</v>
      </c>
      <c r="R19" s="270" t="s">
        <v>15</v>
      </c>
      <c r="S19" s="33"/>
    </row>
    <row r="20" spans="2:19" s="7" customFormat="1" ht="20.25" customHeight="1">
      <c r="B20" s="29"/>
      <c r="C20" s="595"/>
      <c r="D20" s="575"/>
      <c r="E20" s="77"/>
      <c r="F20" s="77"/>
      <c r="G20" s="570"/>
      <c r="H20" s="571"/>
      <c r="I20" s="573"/>
      <c r="J20" s="77"/>
      <c r="K20" s="78"/>
      <c r="L20" s="82"/>
      <c r="M20" s="84" t="s">
        <v>20</v>
      </c>
      <c r="N20" s="85">
        <f>'INITIAL DATA'!G26</f>
        <v>326247178.88386124</v>
      </c>
      <c r="O20" s="85">
        <f>'INITIAL DATA'!K26</f>
        <v>330653907.04072398</v>
      </c>
      <c r="P20" s="85">
        <f>'INITIAL DATA'!O26</f>
        <v>331179728.51402718</v>
      </c>
      <c r="Q20" s="85">
        <f>'INITIAL DATA'!S26</f>
        <v>331100125.25668782</v>
      </c>
      <c r="R20" s="85">
        <f>'INITIAL DATA'!W26</f>
        <v>325052059.34443438</v>
      </c>
      <c r="S20" s="33"/>
    </row>
    <row r="21" spans="2:19" s="7" customFormat="1" ht="20.25" customHeight="1">
      <c r="B21" s="29"/>
      <c r="C21" s="77"/>
      <c r="D21" s="77"/>
      <c r="E21" s="77"/>
      <c r="F21" s="77"/>
      <c r="G21" s="77"/>
      <c r="H21" s="80"/>
      <c r="I21" s="77"/>
      <c r="J21" s="77"/>
      <c r="K21" s="78"/>
      <c r="L21" s="82"/>
      <c r="M21" s="86" t="s">
        <v>21</v>
      </c>
      <c r="N21" s="85">
        <f>N20-N25</f>
        <v>303709978.88386124</v>
      </c>
      <c r="O21" s="85">
        <f t="shared" ref="O21:R21" si="0">O20-O25</f>
        <v>306313731.04072398</v>
      </c>
      <c r="P21" s="85">
        <f t="shared" si="0"/>
        <v>304405534.91402715</v>
      </c>
      <c r="Q21" s="85">
        <f t="shared" si="0"/>
        <v>302183996.16868782</v>
      </c>
      <c r="R21" s="85">
        <f t="shared" si="0"/>
        <v>294690123.80203438</v>
      </c>
      <c r="S21" s="33"/>
    </row>
    <row r="22" spans="2:19" s="7" customFormat="1" ht="21.75" customHeight="1">
      <c r="B22" s="29"/>
      <c r="C22" s="77"/>
      <c r="D22" s="77"/>
      <c r="E22" s="77"/>
      <c r="F22" s="77"/>
      <c r="G22" s="568" t="s">
        <v>374</v>
      </c>
      <c r="H22" s="569"/>
      <c r="I22" s="572" t="s">
        <v>17</v>
      </c>
      <c r="J22" s="77"/>
      <c r="K22" s="78"/>
      <c r="L22" s="81"/>
      <c r="M22" s="87" t="s">
        <v>23</v>
      </c>
      <c r="N22" s="85">
        <f>'INITIAL DATA'!G20</f>
        <v>25098666.666666672</v>
      </c>
      <c r="O22" s="85">
        <f>'INITIAL DATA'!K20</f>
        <v>27106560.000000007</v>
      </c>
      <c r="P22" s="85">
        <f>'INITIAL DATA'!O20</f>
        <v>29817216.000000011</v>
      </c>
      <c r="Q22" s="85">
        <f>'INITIAL DATA'!S20</f>
        <v>32202593.280000012</v>
      </c>
      <c r="R22" s="85">
        <f>'INITIAL DATA'!W20</f>
        <v>34456774.809600018</v>
      </c>
      <c r="S22" s="33"/>
    </row>
    <row r="23" spans="2:19" s="7" customFormat="1" ht="20.25" customHeight="1">
      <c r="B23" s="29"/>
      <c r="C23" s="77"/>
      <c r="D23" s="77"/>
      <c r="E23" s="77"/>
      <c r="F23" s="77"/>
      <c r="G23" s="570"/>
      <c r="H23" s="571"/>
      <c r="I23" s="573"/>
      <c r="J23" s="77"/>
      <c r="K23" s="78"/>
      <c r="L23" s="81"/>
      <c r="M23" s="88" t="s">
        <v>24</v>
      </c>
      <c r="N23" s="85">
        <f>'INITIAL DATA'!G21</f>
        <v>7448235.2941176472</v>
      </c>
      <c r="O23" s="85">
        <f>'INITIAL DATA'!K21</f>
        <v>8044094.1176470593</v>
      </c>
      <c r="P23" s="85">
        <f>'INITIAL DATA'!O21</f>
        <v>8848503.5294117667</v>
      </c>
      <c r="Q23" s="85">
        <f>'INITIAL DATA'!S21</f>
        <v>9556383.8117647078</v>
      </c>
      <c r="R23" s="85">
        <f>'INITIAL DATA'!W21</f>
        <v>10225330.678588238</v>
      </c>
      <c r="S23" s="33"/>
    </row>
    <row r="24" spans="2:19" s="7" customFormat="1" ht="21.75" customHeight="1">
      <c r="B24" s="29"/>
      <c r="C24" s="77"/>
      <c r="D24" s="77"/>
      <c r="E24" s="77"/>
      <c r="F24" s="77"/>
      <c r="G24" s="77"/>
      <c r="H24" s="77"/>
      <c r="I24" s="77"/>
      <c r="J24" s="77"/>
      <c r="K24" s="78"/>
      <c r="L24" s="81"/>
      <c r="M24" s="89" t="s">
        <v>25</v>
      </c>
      <c r="N24" s="85">
        <f>'INITIAL DATA'!G22</f>
        <v>271163076.92307693</v>
      </c>
      <c r="O24" s="85">
        <f>'INITIAL DATA'!K22</f>
        <v>271163076.92307693</v>
      </c>
      <c r="P24" s="85">
        <f>'INITIAL DATA'!O22</f>
        <v>265739815.38461539</v>
      </c>
      <c r="Q24" s="85">
        <f>'INITIAL DATA'!S22</f>
        <v>260425019.07692307</v>
      </c>
      <c r="R24" s="85">
        <f>'INITIAL DATA'!W22</f>
        <v>250008018.31384614</v>
      </c>
      <c r="S24" s="33"/>
    </row>
    <row r="25" spans="2:19" s="7" customFormat="1" ht="25.35" customHeight="1">
      <c r="B25" s="29"/>
      <c r="C25" s="77"/>
      <c r="D25" s="77"/>
      <c r="E25" s="271"/>
      <c r="F25" s="77"/>
      <c r="G25" s="77"/>
      <c r="H25" s="77"/>
      <c r="I25" s="77"/>
      <c r="J25" s="77"/>
      <c r="K25" s="78"/>
      <c r="L25" s="81"/>
      <c r="M25" s="272" t="s">
        <v>27</v>
      </c>
      <c r="N25" s="85">
        <f>'INITIAL DATA'!G23</f>
        <v>22537200</v>
      </c>
      <c r="O25" s="85">
        <f>'INITIAL DATA'!K23</f>
        <v>24340176</v>
      </c>
      <c r="P25" s="85">
        <f>'INITIAL DATA'!O23</f>
        <v>26774193.600000001</v>
      </c>
      <c r="Q25" s="85">
        <f>'INITIAL DATA'!S23</f>
        <v>28916129.088000003</v>
      </c>
      <c r="R25" s="85">
        <f>'INITIAL DATA'!W23</f>
        <v>30361935.542400006</v>
      </c>
      <c r="S25" s="33"/>
    </row>
    <row r="26" spans="2:19" s="7" customFormat="1" ht="22.5" customHeight="1">
      <c r="B26" s="29"/>
      <c r="C26" s="77"/>
      <c r="D26" s="77"/>
      <c r="E26" s="271"/>
      <c r="F26" s="77"/>
      <c r="G26" s="77"/>
      <c r="H26" s="77"/>
      <c r="I26" s="77"/>
      <c r="J26" s="77"/>
      <c r="K26" s="78"/>
      <c r="L26" s="81"/>
      <c r="M26" s="83"/>
      <c r="N26" s="85"/>
      <c r="O26" s="85"/>
      <c r="P26" s="85"/>
      <c r="Q26" s="85"/>
      <c r="R26" s="85"/>
      <c r="S26" s="33"/>
    </row>
    <row r="27" spans="2:19" s="7" customFormat="1" ht="23.1" customHeight="1">
      <c r="B27" s="29"/>
      <c r="C27" s="77"/>
      <c r="D27" s="77"/>
      <c r="E27" s="77"/>
      <c r="F27" s="77"/>
      <c r="G27" s="77"/>
      <c r="H27" s="77"/>
      <c r="I27" s="77"/>
      <c r="J27" s="77"/>
      <c r="K27" s="78"/>
      <c r="L27" s="81"/>
      <c r="M27" s="81"/>
      <c r="N27" s="81"/>
      <c r="O27" s="81"/>
      <c r="P27" s="81"/>
      <c r="Q27" s="81"/>
      <c r="R27" s="81"/>
      <c r="S27" s="33"/>
    </row>
    <row r="28" spans="2:19" s="7" customFormat="1" ht="20.100000000000001" customHeight="1">
      <c r="C28" s="78"/>
      <c r="D28" s="78"/>
      <c r="E28" s="78"/>
      <c r="F28" s="78"/>
      <c r="G28" s="78"/>
      <c r="H28" s="78"/>
      <c r="I28" s="78"/>
      <c r="J28" s="78"/>
      <c r="K28" s="78"/>
      <c r="L28" s="81"/>
      <c r="M28" s="559" t="s">
        <v>28</v>
      </c>
      <c r="N28" s="559"/>
      <c r="O28" s="559"/>
      <c r="P28" s="559"/>
      <c r="Q28" s="559"/>
      <c r="R28" s="559"/>
      <c r="S28" s="33"/>
    </row>
    <row r="29" spans="2:19" s="7" customFormat="1" ht="20.25" customHeight="1">
      <c r="B29" s="30"/>
      <c r="C29" s="32"/>
      <c r="D29" s="32"/>
      <c r="E29" s="32"/>
      <c r="F29" s="32"/>
      <c r="G29" s="32"/>
      <c r="H29" s="32"/>
      <c r="I29" s="32"/>
      <c r="J29" s="32"/>
      <c r="K29" s="78"/>
      <c r="L29" s="81"/>
      <c r="M29" s="83"/>
      <c r="N29" s="269" t="s">
        <v>11</v>
      </c>
      <c r="O29" s="269" t="s">
        <v>12</v>
      </c>
      <c r="P29" s="269" t="s">
        <v>13</v>
      </c>
      <c r="Q29" s="269" t="s">
        <v>14</v>
      </c>
      <c r="R29" s="270" t="s">
        <v>15</v>
      </c>
      <c r="S29" s="33"/>
    </row>
    <row r="30" spans="2:19" s="7" customFormat="1" ht="34.5" customHeight="1">
      <c r="B30" s="30"/>
      <c r="C30" s="32"/>
      <c r="D30" s="32"/>
      <c r="E30" s="117" t="s">
        <v>29</v>
      </c>
      <c r="F30" s="32"/>
      <c r="G30" s="32"/>
      <c r="H30" s="32"/>
      <c r="I30" s="32"/>
      <c r="J30" s="32"/>
      <c r="K30" s="78"/>
      <c r="L30" s="81"/>
      <c r="M30" s="90" t="s">
        <v>20</v>
      </c>
      <c r="N30" s="85">
        <f>'INITIAL DATA'!D39</f>
        <v>240358002.29441491</v>
      </c>
      <c r="O30" s="85">
        <f>'INITIAL DATA'!H39</f>
        <v>263092964.80224589</v>
      </c>
      <c r="P30" s="85">
        <f>'INITIAL DATA'!L39</f>
        <v>271416688.10167688</v>
      </c>
      <c r="Q30" s="85">
        <f>'INITIAL DATA'!P39</f>
        <v>274064964.14724982</v>
      </c>
      <c r="R30" s="85">
        <f>'INITIAL DATA'!T33</f>
        <v>28592569.188445892</v>
      </c>
      <c r="S30" s="33"/>
    </row>
    <row r="31" spans="2:19" s="7" customFormat="1" ht="20.25" customHeight="1">
      <c r="B31" s="30"/>
      <c r="C31" s="32"/>
      <c r="D31" s="32"/>
      <c r="E31" s="32"/>
      <c r="F31" s="32"/>
      <c r="G31" s="32"/>
      <c r="H31" s="32"/>
      <c r="I31" s="32"/>
      <c r="J31" s="32"/>
      <c r="K31" s="78"/>
      <c r="L31" s="81"/>
      <c r="M31" s="87" t="s">
        <v>23</v>
      </c>
      <c r="N31" s="85">
        <f>'INITIAL DATA'!D33</f>
        <v>18491088.262868796</v>
      </c>
      <c r="O31" s="85">
        <f>'INITIAL DATA'!H33</f>
        <v>21568005.349810164</v>
      </c>
      <c r="P31" s="85">
        <f>'INITIAL DATA'!L33</f>
        <v>24436550.061334919</v>
      </c>
      <c r="Q31" s="85">
        <f>'INITIAL DATA'!P33</f>
        <v>26655388.806904133</v>
      </c>
      <c r="R31" s="85">
        <f>'INITIAL DATA'!T33</f>
        <v>28592569.188445892</v>
      </c>
      <c r="S31" s="33"/>
    </row>
    <row r="32" spans="2:19" s="7" customFormat="1" ht="20.25" customHeight="1">
      <c r="B32" s="30"/>
      <c r="C32" s="586" t="s">
        <v>30</v>
      </c>
      <c r="D32" s="587"/>
      <c r="E32" s="587"/>
      <c r="F32" s="587"/>
      <c r="G32" s="587"/>
      <c r="H32" s="587"/>
      <c r="I32" s="588"/>
      <c r="J32" s="32"/>
      <c r="K32" s="78"/>
      <c r="L32" s="81"/>
      <c r="M32" s="88" t="s">
        <v>24</v>
      </c>
      <c r="N32" s="85">
        <f>'INITIAL DATA'!D34</f>
        <v>5487382.1807059031</v>
      </c>
      <c r="O32" s="85">
        <f>'INITIAL DATA'!H34</f>
        <v>6400482.5755753666</v>
      </c>
      <c r="P32" s="85">
        <f>'INITIAL DATA'!L34</f>
        <v>7251746.7581268921</v>
      </c>
      <c r="Q32" s="85">
        <f>'INITIAL DATA'!P34</f>
        <v>7910205.3637648141</v>
      </c>
      <c r="R32" s="85">
        <f>'INITIAL DATA'!T34</f>
        <v>8485079.5385764223</v>
      </c>
      <c r="S32" s="33"/>
    </row>
    <row r="33" spans="2:19" s="7" customFormat="1" ht="39" customHeight="1">
      <c r="B33" s="30"/>
      <c r="C33" s="91"/>
      <c r="D33" s="273" t="s">
        <v>31</v>
      </c>
      <c r="E33" s="274" t="s">
        <v>32</v>
      </c>
      <c r="F33" s="275" t="s">
        <v>33</v>
      </c>
      <c r="G33" s="276" t="s">
        <v>27</v>
      </c>
      <c r="H33" s="277"/>
      <c r="I33" s="278"/>
      <c r="J33" s="31"/>
      <c r="K33" s="78"/>
      <c r="L33" s="81"/>
      <c r="M33" s="89" t="s">
        <v>25</v>
      </c>
      <c r="N33" s="85">
        <f>'INITIAL DATA'!D35</f>
        <v>199775567.98564446</v>
      </c>
      <c r="O33" s="85">
        <f>'INITIAL DATA'!H35</f>
        <v>215757613.42449602</v>
      </c>
      <c r="P33" s="85">
        <f>'INITIAL DATA'!L35</f>
        <v>217785734.9906863</v>
      </c>
      <c r="Q33" s="85">
        <f>'INITIAL DATA'!P35</f>
        <v>215564320.4937813</v>
      </c>
      <c r="R33" s="85">
        <f>'INITIAL DATA'!T35</f>
        <v>207459102.0432151</v>
      </c>
      <c r="S33" s="33"/>
    </row>
    <row r="34" spans="2:19" s="7" customFormat="1" ht="20.25" customHeight="1">
      <c r="B34" s="30"/>
      <c r="C34" s="92" t="s">
        <v>34</v>
      </c>
      <c r="D34" s="93">
        <f>FEES!D50</f>
        <v>0.12293091232778232</v>
      </c>
      <c r="E34" s="93">
        <f>FEES!D51</f>
        <v>1.3932170063815335</v>
      </c>
      <c r="F34" s="93">
        <f>FEES!D52</f>
        <v>5.3270062008705675E-2</v>
      </c>
      <c r="G34" s="93">
        <f>FEES!D53</f>
        <v>0.12293091232778233</v>
      </c>
      <c r="H34" s="94"/>
      <c r="I34" s="94"/>
      <c r="J34" s="32"/>
      <c r="K34" s="78"/>
      <c r="L34" s="81"/>
      <c r="M34" s="272" t="s">
        <v>27</v>
      </c>
      <c r="N34" s="85">
        <f>'INITIAL DATA'!D36</f>
        <v>16603963.865195755</v>
      </c>
      <c r="O34" s="85">
        <f>'INITIAL DATA'!H36</f>
        <v>19366863.452364329</v>
      </c>
      <c r="P34" s="85">
        <f>'INITIAL DATA'!L36</f>
        <v>21942656.291528787</v>
      </c>
      <c r="Q34" s="85">
        <f>'INITIAL DATA'!P36</f>
        <v>23935049.482799605</v>
      </c>
      <c r="R34" s="85">
        <f>'INITIAL DATA'!T36</f>
        <v>25194631.461831935</v>
      </c>
      <c r="S34" s="33"/>
    </row>
    <row r="35" spans="2:19" s="7" customFormat="1" ht="20.25" customHeight="1">
      <c r="B35" s="30"/>
      <c r="C35" s="95" t="s">
        <v>35</v>
      </c>
      <c r="D35" s="96">
        <f>VLOOKUP(I22,FEES!K65:L66,2,FALSE)</f>
        <v>0</v>
      </c>
      <c r="E35" s="96">
        <f>VLOOKUP(I16,FEES!K69:L70,2,FALSE)</f>
        <v>0</v>
      </c>
      <c r="F35" s="96">
        <f>D35</f>
        <v>0</v>
      </c>
      <c r="G35" s="96">
        <f>VLOOKUP(I19,FEES!K73:L74,2,FALSE)</f>
        <v>3.4999999999999976E-2</v>
      </c>
      <c r="H35" s="97"/>
      <c r="I35" s="98"/>
      <c r="J35" s="32"/>
      <c r="K35" s="78"/>
      <c r="L35" s="81"/>
      <c r="M35" s="83"/>
      <c r="N35" s="85"/>
      <c r="O35" s="85"/>
      <c r="P35" s="85"/>
      <c r="Q35" s="85"/>
      <c r="R35" s="85"/>
      <c r="S35" s="33"/>
    </row>
    <row r="36" spans="2:19" s="7" customFormat="1" ht="20.25" customHeight="1">
      <c r="B36" s="30"/>
      <c r="C36" s="44" t="s">
        <v>36</v>
      </c>
      <c r="D36" s="99">
        <f>D34+D35</f>
        <v>0.12293091232778232</v>
      </c>
      <c r="E36" s="99">
        <f t="shared" ref="E36:G36" si="1">E34+E35</f>
        <v>1.3932170063815335</v>
      </c>
      <c r="F36" s="99">
        <f t="shared" si="1"/>
        <v>5.3270062008705675E-2</v>
      </c>
      <c r="G36" s="99">
        <f t="shared" si="1"/>
        <v>0.15793091232778231</v>
      </c>
      <c r="H36" s="100"/>
      <c r="I36" s="100"/>
      <c r="J36" s="102"/>
      <c r="K36" s="78"/>
      <c r="L36" s="81"/>
      <c r="M36" s="81"/>
      <c r="N36" s="81"/>
      <c r="O36" s="81"/>
      <c r="P36" s="81"/>
      <c r="Q36" s="81"/>
      <c r="R36" s="81"/>
      <c r="S36" s="33"/>
    </row>
    <row r="37" spans="2:19" s="7" customFormat="1" ht="20.25" customHeight="1">
      <c r="B37" s="30"/>
      <c r="C37" s="101" t="s">
        <v>328</v>
      </c>
      <c r="D37" s="96">
        <f t="shared" ref="D37:G37" si="2">$I$12</f>
        <v>0.3</v>
      </c>
      <c r="E37" s="96">
        <f t="shared" si="2"/>
        <v>0.3</v>
      </c>
      <c r="F37" s="96">
        <f t="shared" si="2"/>
        <v>0.3</v>
      </c>
      <c r="G37" s="96">
        <f t="shared" si="2"/>
        <v>0.3</v>
      </c>
      <c r="H37" s="97"/>
      <c r="I37" s="98"/>
      <c r="J37" s="102"/>
      <c r="K37" s="78"/>
      <c r="L37" s="81"/>
      <c r="M37" s="81"/>
      <c r="N37" s="81"/>
      <c r="O37" s="81"/>
      <c r="P37" s="81"/>
      <c r="Q37" s="81"/>
      <c r="R37" s="81"/>
      <c r="S37" s="33"/>
    </row>
    <row r="38" spans="2:19" s="7" customFormat="1" ht="20.25" customHeight="1">
      <c r="B38" s="30"/>
      <c r="C38" s="103" t="s">
        <v>37</v>
      </c>
      <c r="D38" s="104">
        <f t="shared" ref="D38:G38" si="3">D34+D35+D37</f>
        <v>0.42293091232778229</v>
      </c>
      <c r="E38" s="104">
        <f t="shared" si="3"/>
        <v>1.6932170063815335</v>
      </c>
      <c r="F38" s="104">
        <f t="shared" si="3"/>
        <v>0.35327006200870564</v>
      </c>
      <c r="G38" s="104">
        <f t="shared" si="3"/>
        <v>0.45793091232778227</v>
      </c>
      <c r="H38" s="105"/>
      <c r="I38" s="105"/>
      <c r="J38" s="102"/>
      <c r="K38" s="78"/>
      <c r="L38" s="81"/>
      <c r="M38" s="559" t="s">
        <v>38</v>
      </c>
      <c r="N38" s="559"/>
      <c r="O38" s="559"/>
      <c r="P38" s="559"/>
      <c r="Q38" s="559"/>
      <c r="R38" s="559"/>
      <c r="S38" s="33"/>
    </row>
    <row r="39" spans="2:19" s="7" customFormat="1" ht="20.25" customHeight="1">
      <c r="B39" s="30"/>
      <c r="C39" s="32"/>
      <c r="D39" s="32"/>
      <c r="E39" s="32"/>
      <c r="F39" s="32"/>
      <c r="G39" s="32"/>
      <c r="H39" s="32"/>
      <c r="I39" s="32"/>
      <c r="J39" s="32"/>
      <c r="K39" s="78"/>
      <c r="L39" s="81"/>
      <c r="M39" s="83" t="s">
        <v>39</v>
      </c>
      <c r="N39" s="269" t="s">
        <v>11</v>
      </c>
      <c r="O39" s="269" t="s">
        <v>12</v>
      </c>
      <c r="P39" s="269" t="s">
        <v>13</v>
      </c>
      <c r="Q39" s="269" t="s">
        <v>14</v>
      </c>
      <c r="R39" s="270" t="s">
        <v>15</v>
      </c>
      <c r="S39" s="33"/>
    </row>
    <row r="40" spans="2:19" s="7" customFormat="1" ht="20.25" customHeight="1">
      <c r="B40" s="30"/>
      <c r="C40" s="578" t="s">
        <v>40</v>
      </c>
      <c r="D40" s="579"/>
      <c r="E40" s="279"/>
      <c r="F40" s="279"/>
      <c r="G40" s="32"/>
      <c r="H40" s="102"/>
      <c r="I40" s="102"/>
      <c r="J40" s="102"/>
      <c r="K40" s="78"/>
      <c r="L40" s="81"/>
      <c r="M40" s="585" t="s">
        <v>372</v>
      </c>
      <c r="N40" s="560">
        <f>'INITIAL DATA'!I26</f>
        <v>7486596</v>
      </c>
      <c r="O40" s="560">
        <f>'INITIAL DATA'!M26</f>
        <v>7803514.080000001</v>
      </c>
      <c r="P40" s="560">
        <f>'INITIAL DATA'!Q26</f>
        <v>8160851.0880000014</v>
      </c>
      <c r="Q40" s="560">
        <f>'INITIAL DATA'!U26</f>
        <v>8468257.4150400013</v>
      </c>
      <c r="R40" s="560">
        <f>'INITIAL DATA'!Y26</f>
        <v>8671277.9793600012</v>
      </c>
      <c r="S40" s="33"/>
    </row>
    <row r="41" spans="2:19" s="7" customFormat="1" ht="20.25" customHeight="1">
      <c r="B41" s="30"/>
      <c r="C41" s="106" t="s">
        <v>41</v>
      </c>
      <c r="D41" s="107">
        <f>OUTPUTS!D15</f>
        <v>145815600.37664893</v>
      </c>
      <c r="E41" s="32"/>
      <c r="F41" s="32"/>
      <c r="G41" s="32"/>
      <c r="H41" s="102"/>
      <c r="I41" s="32"/>
      <c r="J41" s="32"/>
      <c r="K41" s="78"/>
      <c r="L41" s="81"/>
      <c r="M41" s="585"/>
      <c r="N41" s="560"/>
      <c r="O41" s="560"/>
      <c r="P41" s="560"/>
      <c r="Q41" s="560"/>
      <c r="R41" s="560"/>
      <c r="S41" s="33"/>
    </row>
    <row r="42" spans="2:19" s="7" customFormat="1" ht="20.25" customHeight="1">
      <c r="B42" s="30"/>
      <c r="C42" s="32"/>
      <c r="D42" s="32"/>
      <c r="E42" s="32"/>
      <c r="F42" s="32"/>
      <c r="G42" s="32"/>
      <c r="H42" s="32"/>
      <c r="I42" s="32"/>
      <c r="J42" s="32"/>
      <c r="K42" s="78"/>
      <c r="L42" s="81"/>
      <c r="M42" s="566" t="s">
        <v>42</v>
      </c>
      <c r="N42" s="560">
        <f>'INITIAL DATA'!F52</f>
        <v>1970952.1109046787</v>
      </c>
      <c r="O42" s="560">
        <f>'INITIAL DATA'!J52</f>
        <v>1594454.9657206931</v>
      </c>
      <c r="P42" s="560">
        <f>'INITIAL DATA'!N52</f>
        <v>1472666.4447720256</v>
      </c>
      <c r="Q42" s="560">
        <f>'INITIAL DATA'!R52</f>
        <v>1458738.2762496949</v>
      </c>
      <c r="R42" s="560">
        <f>'INITIAL DATA'!V52</f>
        <v>1475766.5901738866</v>
      </c>
      <c r="S42" s="33"/>
    </row>
    <row r="43" spans="2:19" s="7" customFormat="1" ht="20.25" customHeight="1">
      <c r="B43" s="30"/>
      <c r="C43" s="32"/>
      <c r="D43" s="32"/>
      <c r="E43" s="32"/>
      <c r="F43" s="32"/>
      <c r="G43" s="32"/>
      <c r="H43" s="32"/>
      <c r="I43" s="32"/>
      <c r="J43" s="32"/>
      <c r="K43" s="78"/>
      <c r="L43" s="81"/>
      <c r="M43" s="566"/>
      <c r="N43" s="560"/>
      <c r="O43" s="560"/>
      <c r="P43" s="560"/>
      <c r="Q43" s="560"/>
      <c r="R43" s="560"/>
      <c r="S43" s="33"/>
    </row>
    <row r="44" spans="2:19" s="7" customFormat="1" ht="20.25" customHeight="1">
      <c r="B44" s="30"/>
      <c r="C44" s="32"/>
      <c r="D44" s="32"/>
      <c r="E44" s="32"/>
      <c r="F44" s="32"/>
      <c r="G44" s="32"/>
      <c r="H44" s="32"/>
      <c r="I44" s="32"/>
      <c r="J44" s="32"/>
      <c r="K44" s="78"/>
      <c r="L44" s="81"/>
      <c r="M44" s="580" t="s">
        <v>375</v>
      </c>
      <c r="N44" s="560">
        <f>'INITIAL DATA'!F39</f>
        <v>5515643.8890953213</v>
      </c>
      <c r="O44" s="560">
        <f>'INITIAL DATA'!J39</f>
        <v>6209059.1142793074</v>
      </c>
      <c r="P44" s="560">
        <f>'INITIAL DATA'!N39</f>
        <v>6688184.6432279758</v>
      </c>
      <c r="Q44" s="560">
        <f>'INITIAL DATA'!R39</f>
        <v>7009519.1387903057</v>
      </c>
      <c r="R44" s="560">
        <f>'INITIAL DATA'!V39</f>
        <v>7195511.3891861141</v>
      </c>
      <c r="S44" s="33"/>
    </row>
    <row r="45" spans="2:19" s="7" customFormat="1" ht="20.25" customHeight="1">
      <c r="B45" s="30"/>
      <c r="C45" s="589" t="s">
        <v>43</v>
      </c>
      <c r="D45" s="590"/>
      <c r="E45" s="590"/>
      <c r="F45" s="590"/>
      <c r="G45" s="590"/>
      <c r="H45" s="591"/>
      <c r="I45" s="32"/>
      <c r="J45" s="32"/>
      <c r="K45" s="78"/>
      <c r="L45" s="81"/>
      <c r="M45" s="580"/>
      <c r="N45" s="560"/>
      <c r="O45" s="560"/>
      <c r="P45" s="560"/>
      <c r="Q45" s="560"/>
      <c r="R45" s="560"/>
      <c r="S45" s="33"/>
    </row>
    <row r="46" spans="2:19" s="7" customFormat="1" ht="20.25" customHeight="1">
      <c r="B46" s="30"/>
      <c r="C46" s="280"/>
      <c r="D46" s="269" t="s">
        <v>11</v>
      </c>
      <c r="E46" s="269" t="s">
        <v>12</v>
      </c>
      <c r="F46" s="269" t="s">
        <v>13</v>
      </c>
      <c r="G46" s="269" t="s">
        <v>14</v>
      </c>
      <c r="H46" s="270" t="s">
        <v>15</v>
      </c>
      <c r="I46" s="32"/>
      <c r="J46" s="32"/>
      <c r="K46" s="78"/>
      <c r="L46" s="81"/>
      <c r="M46" s="81"/>
      <c r="N46" s="108"/>
      <c r="O46" s="81"/>
      <c r="P46" s="108"/>
      <c r="Q46" s="81"/>
      <c r="R46" s="108"/>
      <c r="S46" s="33"/>
    </row>
    <row r="47" spans="2:19" s="7" customFormat="1" ht="39" customHeight="1">
      <c r="B47" s="30"/>
      <c r="C47" s="109" t="s">
        <v>44</v>
      </c>
      <c r="D47" s="110">
        <f>OUTPUTS!D20</f>
        <v>964210.82460577693</v>
      </c>
      <c r="E47" s="110">
        <f>OUTPUTS!E20</f>
        <v>1028900.5160367404</v>
      </c>
      <c r="F47" s="110">
        <f>OUTPUTS!F20</f>
        <v>1137172.8368617669</v>
      </c>
      <c r="G47" s="110">
        <f>OUTPUTS!G20</f>
        <v>1251507.9922914701</v>
      </c>
      <c r="H47" s="111">
        <f>OUTPUTS!H20</f>
        <v>1380862.5123971903</v>
      </c>
      <c r="I47" s="32"/>
      <c r="J47" s="32"/>
      <c r="K47" s="78"/>
      <c r="L47" s="81"/>
      <c r="M47" s="81"/>
      <c r="N47" s="108"/>
      <c r="O47" s="81"/>
      <c r="P47" s="108"/>
      <c r="Q47" s="81"/>
      <c r="R47" s="108"/>
      <c r="S47" s="33"/>
    </row>
    <row r="48" spans="2:19" s="7" customFormat="1" ht="20.25" customHeight="1">
      <c r="B48" s="30"/>
      <c r="C48" s="109" t="s">
        <v>45</v>
      </c>
      <c r="D48" s="110">
        <f>OUTPUTS!D21</f>
        <v>550471.650381963</v>
      </c>
      <c r="E48" s="110">
        <f>OUTPUTS!E21</f>
        <v>577995.23290106107</v>
      </c>
      <c r="F48" s="110">
        <f>OUTPUTS!F21</f>
        <v>606894.99454611423</v>
      </c>
      <c r="G48" s="110">
        <f>OUTPUTS!G21</f>
        <v>637239.74427342007</v>
      </c>
      <c r="H48" s="111">
        <f>OUTPUTS!H21</f>
        <v>669101.73148709105</v>
      </c>
      <c r="I48" s="32"/>
      <c r="J48" s="32"/>
      <c r="K48" s="78"/>
      <c r="L48" s="81"/>
      <c r="M48" s="81"/>
      <c r="N48" s="108"/>
      <c r="O48" s="81"/>
      <c r="P48" s="108"/>
      <c r="Q48" s="81"/>
      <c r="R48" s="108"/>
      <c r="S48" s="33"/>
    </row>
    <row r="49" spans="2:19" s="7" customFormat="1" ht="20.25" customHeight="1">
      <c r="B49" s="30"/>
      <c r="C49" s="112" t="s">
        <v>46</v>
      </c>
      <c r="D49" s="110">
        <f>OUTPUTS!D22</f>
        <v>1514682.4749877399</v>
      </c>
      <c r="E49" s="110">
        <f>OUTPUTS!E22</f>
        <v>1606895.7489378015</v>
      </c>
      <c r="F49" s="110">
        <f>OUTPUTS!F22</f>
        <v>1744067.8314078811</v>
      </c>
      <c r="G49" s="110">
        <f>OUTPUTS!G22</f>
        <v>1888747.73656489</v>
      </c>
      <c r="H49" s="110">
        <f>OUTPUTS!H22</f>
        <v>2049964.2438842813</v>
      </c>
      <c r="I49" s="32"/>
      <c r="J49" s="32"/>
      <c r="K49" s="78"/>
      <c r="L49" s="81"/>
      <c r="M49" s="81"/>
      <c r="N49" s="108"/>
      <c r="O49" s="81"/>
      <c r="P49" s="108"/>
      <c r="Q49" s="81"/>
      <c r="R49" s="108"/>
      <c r="S49" s="33"/>
    </row>
    <row r="50" spans="2:19" s="7" customFormat="1" ht="20.25" customHeight="1">
      <c r="B50" s="30"/>
      <c r="C50" s="32"/>
      <c r="D50" s="32"/>
      <c r="E50" s="32"/>
      <c r="F50" s="32"/>
      <c r="G50" s="32"/>
      <c r="H50" s="32"/>
      <c r="I50" s="32"/>
      <c r="J50" s="32"/>
      <c r="K50" s="78"/>
      <c r="L50" s="81"/>
      <c r="M50" s="81"/>
      <c r="N50" s="108"/>
      <c r="O50" s="81"/>
      <c r="P50" s="108"/>
      <c r="Q50" s="81"/>
      <c r="R50" s="108"/>
      <c r="S50" s="33"/>
    </row>
    <row r="51" spans="2:19" s="7" customFormat="1" ht="20.25" customHeight="1">
      <c r="B51" s="30"/>
      <c r="C51" s="32"/>
      <c r="D51" s="32"/>
      <c r="E51" s="32"/>
      <c r="F51" s="32"/>
      <c r="G51" s="32"/>
      <c r="H51" s="32"/>
      <c r="I51" s="32"/>
      <c r="J51" s="32"/>
      <c r="K51" s="78"/>
      <c r="L51" s="81"/>
      <c r="M51" s="81"/>
      <c r="N51" s="108"/>
      <c r="O51" s="81"/>
      <c r="P51" s="108"/>
      <c r="Q51" s="81"/>
      <c r="R51" s="108"/>
      <c r="S51" s="33"/>
    </row>
    <row r="52" spans="2:19" s="7" customFormat="1" ht="20.25" customHeight="1">
      <c r="B52" s="11"/>
      <c r="C52" s="50"/>
      <c r="D52" s="50"/>
      <c r="E52" s="50"/>
      <c r="F52" s="50"/>
      <c r="G52" s="50"/>
      <c r="H52" s="50"/>
      <c r="I52" s="50"/>
      <c r="J52" s="50"/>
      <c r="K52" s="78"/>
      <c r="L52" s="81"/>
      <c r="M52" s="108"/>
      <c r="N52" s="108"/>
      <c r="O52" s="108"/>
      <c r="P52" s="108"/>
      <c r="Q52" s="108"/>
      <c r="R52" s="108"/>
      <c r="S52" s="33"/>
    </row>
    <row r="53" spans="2:19" s="7" customFormat="1" ht="20.25" customHeight="1">
      <c r="B53" s="11"/>
      <c r="C53" s="50"/>
      <c r="D53" s="50"/>
      <c r="E53" s="50"/>
      <c r="F53" s="50"/>
      <c r="G53" s="50"/>
      <c r="H53" s="50"/>
      <c r="I53" s="50"/>
      <c r="J53" s="50"/>
      <c r="K53" s="78"/>
      <c r="L53" s="81"/>
      <c r="M53" s="108"/>
      <c r="N53" s="108"/>
      <c r="O53" s="108"/>
      <c r="P53" s="108"/>
      <c r="Q53" s="108"/>
      <c r="R53" s="108"/>
      <c r="S53" s="33"/>
    </row>
    <row r="54" spans="2:19" s="7" customFormat="1" ht="20.25" customHeight="1">
      <c r="B54" s="11"/>
      <c r="C54" s="50"/>
      <c r="D54" s="50"/>
      <c r="E54" s="50"/>
      <c r="F54" s="50"/>
      <c r="G54" s="50"/>
      <c r="H54" s="50"/>
      <c r="I54" s="50"/>
      <c r="J54" s="50"/>
      <c r="K54" s="78"/>
      <c r="L54" s="81"/>
      <c r="M54" s="108"/>
      <c r="N54" s="108"/>
      <c r="O54" s="108"/>
      <c r="P54" s="108"/>
      <c r="Q54" s="108"/>
      <c r="R54" s="108"/>
      <c r="S54" s="33"/>
    </row>
    <row r="55" spans="2:19" s="7" customFormat="1" ht="20.25" customHeight="1">
      <c r="B55" s="11"/>
      <c r="C55" s="50"/>
      <c r="D55" s="50"/>
      <c r="E55" s="50"/>
      <c r="F55" s="50"/>
      <c r="G55" s="50"/>
      <c r="H55" s="50"/>
      <c r="I55" s="50"/>
      <c r="J55" s="50"/>
      <c r="K55" s="78"/>
      <c r="L55" s="81"/>
      <c r="M55" s="108"/>
      <c r="N55" s="108"/>
      <c r="O55" s="108"/>
      <c r="P55" s="108"/>
      <c r="Q55" s="108"/>
      <c r="R55" s="108"/>
      <c r="S55" s="33"/>
    </row>
    <row r="56" spans="2:19" s="7" customFormat="1" ht="20.25" customHeight="1">
      <c r="B56" s="11"/>
      <c r="C56" s="50"/>
      <c r="D56" s="50"/>
      <c r="E56" s="50"/>
      <c r="F56" s="50"/>
      <c r="G56" s="50"/>
      <c r="H56" s="50"/>
      <c r="I56" s="50"/>
      <c r="J56" s="50"/>
      <c r="K56" s="78"/>
      <c r="L56" s="81"/>
      <c r="M56" s="108"/>
      <c r="N56" s="108"/>
      <c r="O56" s="108"/>
      <c r="P56" s="108"/>
      <c r="Q56" s="108"/>
      <c r="R56" s="108"/>
      <c r="S56" s="33"/>
    </row>
    <row r="57" spans="2:19" s="7" customFormat="1" ht="14.25" customHeight="1">
      <c r="B57" s="11"/>
      <c r="C57" s="50"/>
      <c r="D57" s="50"/>
      <c r="E57" s="50"/>
      <c r="F57" s="50"/>
      <c r="G57" s="50"/>
      <c r="H57" s="50"/>
      <c r="I57" s="50"/>
      <c r="J57" s="50"/>
      <c r="K57" s="78"/>
      <c r="L57" s="81"/>
      <c r="M57" s="108"/>
      <c r="N57" s="108"/>
      <c r="O57" s="108"/>
      <c r="P57" s="108"/>
      <c r="Q57" s="108"/>
      <c r="R57" s="108"/>
      <c r="S57" s="33"/>
    </row>
    <row r="58" spans="2:19" s="7" customFormat="1" ht="14.25" customHeight="1">
      <c r="B58" s="11"/>
      <c r="C58" s="50"/>
      <c r="D58" s="50"/>
      <c r="E58" s="50"/>
      <c r="F58" s="50"/>
      <c r="G58" s="50"/>
      <c r="H58" s="50"/>
      <c r="I58" s="50"/>
      <c r="J58" s="50"/>
      <c r="K58" s="78"/>
      <c r="L58" s="81"/>
      <c r="M58" s="108"/>
      <c r="N58" s="108"/>
      <c r="O58" s="108"/>
      <c r="P58" s="108"/>
      <c r="Q58" s="108"/>
      <c r="R58" s="108"/>
      <c r="S58" s="33"/>
    </row>
    <row r="59" spans="2:19" s="7" customFormat="1" ht="12" customHeight="1">
      <c r="B59" s="11"/>
      <c r="C59" s="50"/>
      <c r="D59" s="50"/>
      <c r="E59" s="50"/>
      <c r="F59" s="50"/>
      <c r="G59" s="50"/>
      <c r="H59" s="50"/>
      <c r="I59" s="50"/>
      <c r="J59" s="50"/>
      <c r="K59" s="78"/>
      <c r="L59" s="81"/>
      <c r="M59" s="108"/>
      <c r="N59" s="108"/>
      <c r="O59" s="108"/>
      <c r="P59" s="108"/>
      <c r="Q59" s="108"/>
      <c r="R59" s="108"/>
      <c r="S59" s="33"/>
    </row>
    <row r="60" spans="2:19" s="7" customFormat="1" ht="15" customHeight="1">
      <c r="B60" s="11"/>
      <c r="C60" s="50"/>
      <c r="D60" s="50"/>
      <c r="E60" s="50"/>
      <c r="F60" s="50"/>
      <c r="G60" s="50"/>
      <c r="H60" s="50"/>
      <c r="I60" s="50"/>
      <c r="J60" s="50"/>
      <c r="K60" s="78"/>
      <c r="L60" s="81"/>
      <c r="M60" s="108"/>
      <c r="N60" s="108"/>
      <c r="O60" s="108"/>
      <c r="P60" s="108"/>
      <c r="Q60" s="108"/>
      <c r="R60" s="108"/>
      <c r="S60" s="33"/>
    </row>
    <row r="61" spans="2:19" s="7" customFormat="1" ht="38.25" customHeight="1">
      <c r="B61" s="11"/>
      <c r="C61" s="50"/>
      <c r="D61" s="50"/>
      <c r="E61" s="50"/>
      <c r="F61" s="50"/>
      <c r="G61" s="50"/>
      <c r="H61" s="50"/>
      <c r="I61" s="50"/>
      <c r="J61" s="50"/>
      <c r="K61" s="78"/>
      <c r="L61" s="81"/>
      <c r="M61" s="108"/>
      <c r="N61" s="108"/>
      <c r="O61" s="108"/>
      <c r="P61" s="108"/>
      <c r="Q61" s="108"/>
      <c r="R61" s="108"/>
      <c r="S61" s="33"/>
    </row>
    <row r="62" spans="2:19" s="7" customFormat="1" ht="26.25" customHeight="1">
      <c r="B62" s="11"/>
      <c r="C62" s="50"/>
      <c r="D62" s="50"/>
      <c r="E62" s="50"/>
      <c r="F62" s="50"/>
      <c r="G62" s="50"/>
      <c r="H62" s="50"/>
      <c r="I62" s="50"/>
      <c r="J62" s="50"/>
      <c r="K62" s="78"/>
      <c r="L62" s="81"/>
      <c r="M62" s="108"/>
      <c r="N62" s="108"/>
      <c r="O62" s="108"/>
      <c r="P62" s="108"/>
      <c r="Q62" s="108"/>
      <c r="R62" s="108"/>
      <c r="S62" s="33"/>
    </row>
    <row r="63" spans="2:19" s="7" customFormat="1" ht="24.75" customHeight="1">
      <c r="B63" s="11"/>
      <c r="C63" s="50"/>
      <c r="D63" s="50"/>
      <c r="E63" s="50"/>
      <c r="F63" s="50"/>
      <c r="G63" s="50"/>
      <c r="H63" s="50"/>
      <c r="I63" s="50"/>
      <c r="J63" s="50"/>
      <c r="K63" s="78"/>
      <c r="L63" s="81"/>
      <c r="M63" s="108"/>
      <c r="N63" s="108"/>
      <c r="O63" s="108"/>
      <c r="P63" s="108"/>
      <c r="Q63" s="108"/>
      <c r="R63" s="108"/>
      <c r="S63" s="33"/>
    </row>
    <row r="64" spans="2:19" s="7" customFormat="1" ht="24" customHeight="1">
      <c r="B64" s="11"/>
      <c r="C64" s="50"/>
      <c r="D64" s="50"/>
      <c r="E64" s="50"/>
      <c r="F64" s="50"/>
      <c r="G64" s="50"/>
      <c r="H64" s="50"/>
      <c r="I64" s="50"/>
      <c r="J64" s="50"/>
      <c r="K64" s="78"/>
      <c r="L64" s="81"/>
      <c r="M64" s="81"/>
      <c r="N64" s="81"/>
      <c r="O64" s="81"/>
      <c r="P64" s="81"/>
      <c r="Q64" s="81"/>
      <c r="R64" s="81"/>
      <c r="S64" s="33"/>
    </row>
    <row r="65" spans="2:19" s="7" customFormat="1" ht="25.5" customHeight="1">
      <c r="B65" s="11"/>
      <c r="C65" s="50"/>
      <c r="D65" s="50"/>
      <c r="E65" s="50"/>
      <c r="F65" s="50"/>
      <c r="G65" s="50"/>
      <c r="H65" s="50"/>
      <c r="I65" s="50"/>
      <c r="J65" s="50"/>
      <c r="K65" s="78"/>
      <c r="L65" s="81"/>
      <c r="M65" s="561" t="s">
        <v>48</v>
      </c>
      <c r="N65" s="561"/>
      <c r="O65" s="561"/>
      <c r="P65" s="561"/>
      <c r="Q65" s="561"/>
      <c r="R65" s="561"/>
      <c r="S65" s="33"/>
    </row>
    <row r="66" spans="2:19" s="7" customFormat="1" ht="28.5" customHeight="1">
      <c r="B66" s="11"/>
      <c r="C66" s="50"/>
      <c r="D66" s="50"/>
      <c r="E66" s="50"/>
      <c r="F66" s="50"/>
      <c r="G66" s="50"/>
      <c r="H66" s="50"/>
      <c r="I66" s="50"/>
      <c r="J66" s="50"/>
      <c r="K66" s="78"/>
      <c r="L66" s="81"/>
      <c r="M66" s="83"/>
      <c r="N66" s="269" t="s">
        <v>11</v>
      </c>
      <c r="O66" s="269" t="s">
        <v>12</v>
      </c>
      <c r="P66" s="269" t="s">
        <v>13</v>
      </c>
      <c r="Q66" s="269" t="s">
        <v>14</v>
      </c>
      <c r="R66" s="270" t="s">
        <v>15</v>
      </c>
      <c r="S66" s="33"/>
    </row>
    <row r="67" spans="2:19" s="7" customFormat="1" ht="29.25" customHeight="1">
      <c r="B67" s="11"/>
      <c r="C67" s="50"/>
      <c r="D67" s="50"/>
      <c r="E67" s="50"/>
      <c r="F67" s="50"/>
      <c r="G67" s="50"/>
      <c r="H67" s="50"/>
      <c r="I67" s="50"/>
      <c r="J67" s="50"/>
      <c r="K67" s="78"/>
      <c r="L67" s="81"/>
      <c r="M67" s="113" t="s">
        <v>49</v>
      </c>
      <c r="N67" s="114">
        <f>('INITIAL DATA'!F39/1000)*'INITIAL DATA'!$AB$65</f>
        <v>2316570.4334200351</v>
      </c>
      <c r="O67" s="114">
        <f>('INITIAL DATA'!J39/1000)*'INITIAL DATA'!$AB$65</f>
        <v>2607804.8279973092</v>
      </c>
      <c r="P67" s="114">
        <f>('INITIAL DATA'!N39/1000)*'INITIAL DATA'!$AB$65</f>
        <v>2809037.55015575</v>
      </c>
      <c r="Q67" s="114">
        <f>('INITIAL DATA'!R39/1000)*'INITIAL DATA'!$AB$65</f>
        <v>2943998.0382919284</v>
      </c>
      <c r="R67" s="114">
        <f>('INITIAL DATA'!V39/1000)*'INITIAL DATA'!$AB$65</f>
        <v>3022114.7834581677</v>
      </c>
      <c r="S67" s="33"/>
    </row>
    <row r="68" spans="2:19" s="7" customFormat="1" ht="30.75" customHeight="1">
      <c r="B68" s="11"/>
      <c r="C68" s="50"/>
      <c r="D68" s="50"/>
      <c r="E68" s="50"/>
      <c r="F68" s="50"/>
      <c r="G68" s="50"/>
      <c r="H68" s="50"/>
      <c r="I68" s="50"/>
      <c r="J68" s="50"/>
      <c r="K68" s="78"/>
      <c r="L68" s="81"/>
      <c r="M68" s="115" t="s">
        <v>50</v>
      </c>
      <c r="N68" s="114">
        <f>('INITIAL DATA'!F39/1000)*'INITIAL DATA'!$AB$66</f>
        <v>275782.19445476605</v>
      </c>
      <c r="O68" s="114">
        <f>('INITIAL DATA'!J39/1000)*'INITIAL DATA'!$AB$66</f>
        <v>310452.95571396535</v>
      </c>
      <c r="P68" s="114">
        <f>('INITIAL DATA'!N39/1000)*'INITIAL DATA'!$AB$66</f>
        <v>334409.2321613988</v>
      </c>
      <c r="Q68" s="114">
        <f>('INITIAL DATA'!R39/1000)*'INITIAL DATA'!$AB$66</f>
        <v>350475.95693951531</v>
      </c>
      <c r="R68" s="114">
        <f>('INITIAL DATA'!V39/1000)*'INITIAL DATA'!$AB$66</f>
        <v>359775.56945930567</v>
      </c>
      <c r="S68" s="33"/>
    </row>
    <row r="69" spans="2:19" s="7" customFormat="1" ht="22.5" customHeight="1">
      <c r="B69" s="11"/>
      <c r="C69" s="50"/>
      <c r="D69" s="50"/>
      <c r="E69" s="50"/>
      <c r="F69" s="50"/>
      <c r="G69" s="50"/>
      <c r="H69" s="50"/>
      <c r="I69" s="50"/>
      <c r="J69" s="50"/>
      <c r="K69" s="78"/>
      <c r="L69" s="81"/>
      <c r="M69" s="116" t="s">
        <v>51</v>
      </c>
      <c r="N69" s="114">
        <f>('INITIAL DATA'!F39/1000)*'INITIAL DATA'!$AB$67</f>
        <v>1378910.9722738303</v>
      </c>
      <c r="O69" s="114">
        <f>('INITIAL DATA'!J39/1000)*'INITIAL DATA'!$AB$67</f>
        <v>1552264.7785698269</v>
      </c>
      <c r="P69" s="114">
        <f>('INITIAL DATA'!N39/1000)*'INITIAL DATA'!$AB$67</f>
        <v>1672046.160806994</v>
      </c>
      <c r="Q69" s="114">
        <f>('INITIAL DATA'!R39/1000)*'INITIAL DATA'!$AB$67</f>
        <v>1752379.7846975764</v>
      </c>
      <c r="R69" s="114">
        <f>('INITIAL DATA'!V39/1000)*'INITIAL DATA'!$AB$67</f>
        <v>1798877.8472965285</v>
      </c>
      <c r="S69" s="33"/>
    </row>
    <row r="70" spans="2:19" s="7" customFormat="1" ht="14.25" customHeight="1">
      <c r="B70" s="11"/>
      <c r="C70" s="50"/>
      <c r="D70" s="50"/>
      <c r="E70" s="50"/>
      <c r="F70" s="50"/>
      <c r="G70" s="50"/>
      <c r="H70" s="50"/>
      <c r="I70" s="50"/>
      <c r="J70" s="50"/>
      <c r="K70" s="78"/>
      <c r="L70" s="81"/>
      <c r="M70" s="108"/>
      <c r="N70" s="108"/>
      <c r="O70" s="108"/>
      <c r="P70" s="108"/>
      <c r="Q70" s="108"/>
      <c r="R70" s="108"/>
      <c r="S70" s="33"/>
    </row>
    <row r="71" spans="2:19" s="7" customFormat="1" ht="16.5" customHeight="1">
      <c r="B71" s="11"/>
      <c r="C71" s="50"/>
      <c r="D71" s="50"/>
      <c r="E71" s="50"/>
      <c r="F71" s="50"/>
      <c r="G71" s="50"/>
      <c r="H71" s="50"/>
      <c r="I71" s="50"/>
      <c r="J71" s="50"/>
      <c r="K71" s="78"/>
      <c r="L71" s="81"/>
      <c r="M71" s="108"/>
      <c r="N71" s="108"/>
      <c r="O71" s="108"/>
      <c r="P71" s="108"/>
      <c r="Q71" s="108"/>
      <c r="R71" s="108"/>
      <c r="S71" s="33"/>
    </row>
    <row r="72" spans="2:19" s="7" customFormat="1" ht="14.25" customHeight="1">
      <c r="B72" s="11"/>
      <c r="C72" s="50"/>
      <c r="D72" s="50"/>
      <c r="E72" s="50"/>
      <c r="F72" s="50"/>
      <c r="G72" s="50"/>
      <c r="H72" s="50"/>
      <c r="I72" s="50"/>
      <c r="J72" s="50"/>
      <c r="K72" s="78"/>
      <c r="L72" s="81"/>
      <c r="M72" s="108"/>
      <c r="N72" s="108"/>
      <c r="O72" s="108"/>
      <c r="P72" s="108"/>
      <c r="Q72" s="108"/>
      <c r="R72" s="108"/>
      <c r="S72" s="33"/>
    </row>
    <row r="73" spans="2:19" s="7" customFormat="1" ht="14.25" customHeight="1">
      <c r="B73" s="11"/>
      <c r="C73" s="50"/>
      <c r="D73" s="50"/>
      <c r="E73" s="50"/>
      <c r="F73" s="50"/>
      <c r="G73" s="50"/>
      <c r="H73" s="50"/>
      <c r="I73" s="50"/>
      <c r="J73" s="50"/>
      <c r="K73" s="78"/>
      <c r="L73" s="81"/>
      <c r="M73" s="108"/>
      <c r="N73" s="108"/>
      <c r="O73" s="108"/>
      <c r="P73" s="108"/>
      <c r="Q73" s="108"/>
      <c r="R73" s="108"/>
      <c r="S73" s="33"/>
    </row>
    <row r="74" spans="2:19" s="7" customFormat="1" ht="14.25" customHeight="1">
      <c r="B74" s="11"/>
      <c r="C74" s="50"/>
      <c r="D74" s="50"/>
      <c r="E74" s="50"/>
      <c r="F74" s="50"/>
      <c r="G74" s="50"/>
      <c r="H74" s="50"/>
      <c r="I74" s="50"/>
      <c r="J74" s="50"/>
      <c r="K74" s="78"/>
      <c r="L74" s="81"/>
      <c r="M74" s="108"/>
      <c r="N74" s="108"/>
      <c r="O74" s="108"/>
      <c r="P74" s="108"/>
      <c r="Q74" s="108"/>
      <c r="R74" s="108"/>
      <c r="S74" s="33"/>
    </row>
    <row r="75" spans="2:19" s="7" customFormat="1" ht="14.25" customHeight="1">
      <c r="B75" s="11"/>
      <c r="C75" s="50"/>
      <c r="D75" s="50"/>
      <c r="E75" s="50"/>
      <c r="F75" s="50"/>
      <c r="G75" s="50"/>
      <c r="H75" s="50"/>
      <c r="I75" s="50"/>
      <c r="J75" s="50"/>
      <c r="K75" s="78"/>
      <c r="L75" s="81"/>
      <c r="M75" s="108"/>
      <c r="N75" s="108"/>
      <c r="O75" s="108"/>
      <c r="P75" s="108"/>
      <c r="Q75" s="108"/>
      <c r="R75" s="108"/>
      <c r="S75" s="33"/>
    </row>
    <row r="76" spans="2:19" s="7" customFormat="1" ht="14.25" customHeight="1">
      <c r="B76" s="11"/>
      <c r="C76" s="50"/>
      <c r="D76" s="50"/>
      <c r="E76" s="50"/>
      <c r="F76" s="50"/>
      <c r="G76" s="50"/>
      <c r="H76" s="50"/>
      <c r="I76" s="50"/>
      <c r="J76" s="50"/>
      <c r="K76" s="78"/>
      <c r="L76" s="81"/>
      <c r="M76" s="108"/>
      <c r="N76" s="108"/>
      <c r="O76" s="108"/>
      <c r="P76" s="108"/>
      <c r="Q76" s="108"/>
      <c r="R76" s="108"/>
      <c r="S76" s="33"/>
    </row>
    <row r="77" spans="2:19" s="7" customFormat="1" ht="14.25" customHeight="1">
      <c r="B77" s="11"/>
      <c r="C77" s="50"/>
      <c r="D77" s="50"/>
      <c r="E77" s="50"/>
      <c r="F77" s="50"/>
      <c r="G77" s="50"/>
      <c r="H77" s="50"/>
      <c r="I77" s="50"/>
      <c r="J77" s="50"/>
      <c r="K77" s="78"/>
      <c r="L77" s="81"/>
      <c r="M77" s="108"/>
      <c r="N77" s="108"/>
      <c r="O77" s="108"/>
      <c r="P77" s="108"/>
      <c r="Q77" s="108"/>
      <c r="R77" s="108"/>
      <c r="S77" s="33"/>
    </row>
    <row r="78" spans="2:19" s="7" customFormat="1" ht="14.25" customHeight="1">
      <c r="B78" s="11"/>
      <c r="C78" s="11"/>
      <c r="D78" s="11"/>
      <c r="E78" s="11"/>
      <c r="F78" s="11"/>
      <c r="G78" s="11"/>
      <c r="H78" s="11"/>
      <c r="I78" s="11"/>
      <c r="J78" s="11"/>
      <c r="L78" s="33"/>
      <c r="M78" s="34"/>
      <c r="N78" s="34"/>
      <c r="O78" s="34"/>
      <c r="P78" s="34"/>
      <c r="Q78" s="34"/>
      <c r="R78" s="34"/>
      <c r="S78" s="33"/>
    </row>
    <row r="79" spans="2:19" s="7" customFormat="1" ht="14.25" customHeight="1">
      <c r="B79" s="11"/>
      <c r="C79" s="11"/>
      <c r="D79" s="11"/>
      <c r="E79" s="11"/>
      <c r="F79" s="11"/>
      <c r="G79" s="11"/>
      <c r="H79" s="11"/>
      <c r="I79" s="11"/>
      <c r="J79" s="11"/>
      <c r="L79" s="33"/>
      <c r="M79" s="34"/>
      <c r="N79" s="34"/>
      <c r="O79" s="34"/>
      <c r="P79" s="34"/>
      <c r="Q79" s="34"/>
      <c r="R79" s="34"/>
      <c r="S79" s="33"/>
    </row>
    <row r="80" spans="2:19" s="7" customFormat="1" ht="14.25" customHeight="1">
      <c r="B80" s="11"/>
      <c r="C80" s="11"/>
      <c r="D80" s="11"/>
      <c r="E80" s="11"/>
      <c r="F80" s="11"/>
      <c r="G80" s="11"/>
      <c r="H80" s="11"/>
      <c r="I80" s="11"/>
      <c r="J80" s="11"/>
      <c r="L80" s="33"/>
      <c r="M80" s="34"/>
      <c r="N80" s="34"/>
      <c r="O80" s="34"/>
      <c r="P80" s="34"/>
      <c r="Q80" s="34"/>
      <c r="R80" s="34"/>
      <c r="S80" s="33"/>
    </row>
    <row r="81" spans="2:22" s="7" customFormat="1" ht="14.25" customHeight="1">
      <c r="B81" s="11"/>
      <c r="C81" s="11"/>
      <c r="D81" s="11"/>
      <c r="E81" s="11"/>
      <c r="F81" s="11"/>
      <c r="G81" s="11"/>
      <c r="H81" s="11"/>
      <c r="I81" s="11"/>
      <c r="J81" s="11"/>
      <c r="L81" s="33"/>
      <c r="M81" s="34"/>
      <c r="N81" s="34"/>
      <c r="O81" s="34"/>
      <c r="P81" s="34"/>
      <c r="Q81" s="34"/>
      <c r="R81" s="34"/>
      <c r="S81" s="33"/>
    </row>
    <row r="82" spans="2:22" s="7" customFormat="1" ht="14.25" customHeight="1">
      <c r="B82" s="11"/>
      <c r="C82" s="11"/>
      <c r="D82" s="11"/>
      <c r="E82" s="11"/>
      <c r="F82" s="11"/>
      <c r="G82" s="11"/>
      <c r="H82" s="11"/>
      <c r="I82" s="11"/>
      <c r="J82" s="11"/>
      <c r="L82" s="33"/>
      <c r="M82" s="34"/>
      <c r="N82" s="34"/>
      <c r="O82" s="34"/>
      <c r="P82" s="34"/>
      <c r="Q82" s="34"/>
      <c r="R82" s="34"/>
      <c r="S82" s="33"/>
    </row>
    <row r="83" spans="2:22" s="7" customFormat="1" ht="14.25" customHeight="1">
      <c r="B83" s="11"/>
      <c r="C83" s="11"/>
      <c r="D83" s="11"/>
      <c r="E83" s="11"/>
      <c r="F83" s="11"/>
      <c r="G83" s="11"/>
      <c r="H83" s="11"/>
      <c r="I83" s="11"/>
      <c r="J83" s="11"/>
      <c r="L83" s="33"/>
      <c r="M83" s="34"/>
      <c r="N83" s="34"/>
      <c r="O83" s="34"/>
      <c r="P83" s="34"/>
      <c r="Q83" s="34"/>
      <c r="R83" s="34"/>
      <c r="S83" s="33"/>
    </row>
    <row r="84" spans="2:22" s="7" customFormat="1" ht="14.25" customHeight="1">
      <c r="B84" s="11"/>
      <c r="C84" s="11"/>
      <c r="D84" s="11"/>
      <c r="E84" s="11"/>
      <c r="F84" s="11"/>
      <c r="G84" s="11"/>
      <c r="H84" s="11"/>
      <c r="I84" s="11"/>
      <c r="J84" s="11"/>
      <c r="L84" s="33"/>
      <c r="M84" s="34"/>
      <c r="N84" s="34"/>
      <c r="O84" s="34"/>
      <c r="P84" s="34"/>
      <c r="Q84" s="34"/>
      <c r="R84" s="34"/>
      <c r="S84" s="34"/>
    </row>
    <row r="85" spans="2:22" s="7" customFormat="1" ht="27" customHeight="1">
      <c r="B85" s="11"/>
      <c r="C85" s="11"/>
      <c r="D85" s="11"/>
      <c r="E85" s="11"/>
      <c r="F85" s="11"/>
      <c r="G85" s="11"/>
      <c r="H85" s="11"/>
      <c r="I85" s="11"/>
      <c r="J85" s="11"/>
      <c r="K85" s="281"/>
      <c r="L85" s="33"/>
      <c r="M85" s="33"/>
      <c r="N85" s="33"/>
      <c r="O85" s="33"/>
      <c r="P85" s="33"/>
      <c r="Q85" s="33"/>
      <c r="R85" s="33"/>
      <c r="S85" s="33"/>
    </row>
    <row r="86" spans="2:22" s="7" customFormat="1" ht="15" customHeight="1">
      <c r="B86" s="11"/>
      <c r="C86" s="11"/>
      <c r="D86" s="11"/>
      <c r="E86" s="11"/>
      <c r="F86" s="11"/>
      <c r="G86" s="11"/>
      <c r="H86" s="11"/>
      <c r="I86" s="11"/>
      <c r="J86" s="11"/>
      <c r="L86" s="33"/>
      <c r="M86" s="33"/>
      <c r="N86" s="33"/>
      <c r="O86" s="33"/>
      <c r="P86" s="33"/>
      <c r="Q86" s="33"/>
      <c r="R86" s="33"/>
      <c r="S86" s="33"/>
    </row>
    <row r="87" spans="2:22" s="7" customFormat="1" ht="28.35" customHeight="1">
      <c r="B87" s="11"/>
      <c r="C87" s="11"/>
      <c r="D87" s="11"/>
      <c r="E87" s="11"/>
      <c r="F87" s="11"/>
      <c r="G87" s="11"/>
      <c r="H87" s="11"/>
      <c r="I87" s="11"/>
      <c r="J87" s="11"/>
      <c r="K87" s="282"/>
      <c r="L87" s="33"/>
      <c r="M87" s="33"/>
      <c r="N87" s="33"/>
      <c r="O87" s="33"/>
      <c r="P87" s="33"/>
      <c r="Q87" s="33"/>
      <c r="R87" s="33"/>
      <c r="S87" s="33"/>
    </row>
    <row r="88" spans="2:22" s="7" customFormat="1" ht="25.35" customHeight="1">
      <c r="B88" s="11"/>
      <c r="C88" s="11"/>
      <c r="D88" s="11"/>
      <c r="E88" s="11"/>
      <c r="F88" s="11"/>
      <c r="G88" s="11"/>
      <c r="H88" s="11"/>
      <c r="I88" s="11"/>
      <c r="J88" s="11"/>
      <c r="L88" s="33"/>
      <c r="M88" s="33"/>
      <c r="N88" s="33"/>
      <c r="O88" s="33"/>
      <c r="P88" s="33"/>
      <c r="Q88" s="33"/>
      <c r="R88" s="33"/>
      <c r="S88" s="33"/>
    </row>
    <row r="89" spans="2:22" s="7" customFormat="1">
      <c r="B89" s="11"/>
      <c r="C89" s="11"/>
      <c r="D89" s="11"/>
      <c r="E89" s="11"/>
      <c r="F89" s="11"/>
      <c r="G89" s="11"/>
      <c r="H89" s="11"/>
      <c r="I89" s="11"/>
      <c r="J89" s="11"/>
      <c r="K89" s="283"/>
      <c r="L89" s="33"/>
      <c r="M89" s="33"/>
      <c r="N89" s="33"/>
      <c r="O89" s="33"/>
      <c r="P89" s="33"/>
      <c r="Q89" s="33"/>
      <c r="R89" s="33"/>
      <c r="S89" s="33"/>
    </row>
    <row r="90" spans="2:22" s="7" customFormat="1">
      <c r="B90" s="11"/>
      <c r="C90" s="11"/>
      <c r="D90" s="11"/>
      <c r="E90" s="11"/>
      <c r="F90" s="11"/>
      <c r="G90" s="11"/>
      <c r="H90" s="11"/>
      <c r="I90" s="11"/>
      <c r="J90" s="11"/>
      <c r="L90" s="33"/>
      <c r="M90" s="33"/>
      <c r="N90" s="33"/>
      <c r="O90" s="33"/>
      <c r="P90" s="33"/>
      <c r="Q90" s="33"/>
      <c r="R90" s="33"/>
      <c r="S90" s="33"/>
    </row>
    <row r="91" spans="2:22" s="7" customFormat="1">
      <c r="B91" s="11"/>
      <c r="C91" s="11"/>
      <c r="D91" s="11"/>
      <c r="E91" s="11"/>
      <c r="F91" s="11"/>
      <c r="G91" s="11"/>
      <c r="H91" s="11"/>
      <c r="I91" s="11"/>
      <c r="J91" s="11"/>
      <c r="L91" s="33"/>
      <c r="M91" s="33"/>
      <c r="N91" s="33"/>
      <c r="O91" s="33"/>
      <c r="P91" s="33"/>
      <c r="Q91" s="33"/>
      <c r="R91" s="33"/>
      <c r="S91" s="33"/>
    </row>
    <row r="92" spans="2:22" s="7" customFormat="1">
      <c r="B92" s="11"/>
      <c r="C92" s="11"/>
      <c r="D92" s="11"/>
      <c r="E92" s="11"/>
      <c r="F92" s="11"/>
      <c r="G92" s="11"/>
      <c r="H92" s="11"/>
      <c r="I92" s="11"/>
      <c r="J92" s="11"/>
      <c r="L92" s="33"/>
      <c r="M92" s="33"/>
      <c r="N92" s="33"/>
      <c r="O92" s="33"/>
      <c r="P92" s="33"/>
      <c r="Q92" s="33"/>
      <c r="R92" s="33"/>
      <c r="S92" s="33"/>
    </row>
    <row r="93" spans="2:22" s="7" customFormat="1">
      <c r="B93" s="11"/>
      <c r="C93" s="11"/>
      <c r="D93" s="11"/>
      <c r="E93" s="11"/>
      <c r="F93" s="11"/>
      <c r="G93" s="11"/>
      <c r="H93" s="11"/>
      <c r="I93" s="11"/>
      <c r="J93" s="11"/>
      <c r="L93" s="33"/>
      <c r="M93" s="33"/>
      <c r="N93" s="33"/>
      <c r="O93" s="33"/>
      <c r="P93" s="33"/>
      <c r="Q93" s="33"/>
      <c r="R93" s="33"/>
      <c r="S93" s="33"/>
    </row>
    <row r="94" spans="2:22" s="7" customFormat="1" ht="15" customHeight="1">
      <c r="B94" s="11"/>
      <c r="C94" s="11"/>
      <c r="D94" s="11"/>
      <c r="E94" s="11"/>
      <c r="F94" s="11"/>
      <c r="G94" s="11"/>
      <c r="H94" s="11"/>
      <c r="I94" s="11"/>
      <c r="J94" s="11"/>
      <c r="L94" s="33"/>
      <c r="M94" s="33"/>
      <c r="N94" s="33"/>
      <c r="O94" s="33"/>
      <c r="P94" s="33"/>
      <c r="Q94" s="33"/>
      <c r="R94" s="33"/>
      <c r="S94" s="33"/>
    </row>
    <row r="95" spans="2:22" s="7" customFormat="1" ht="15" customHeight="1">
      <c r="B95" s="11"/>
      <c r="C95" s="11"/>
      <c r="D95" s="11"/>
      <c r="E95" s="11"/>
      <c r="F95" s="11"/>
      <c r="G95" s="11"/>
      <c r="H95" s="11"/>
      <c r="I95" s="11"/>
      <c r="J95" s="11"/>
      <c r="L95" s="33"/>
      <c r="M95" s="33"/>
      <c r="N95" s="33"/>
      <c r="O95" s="33"/>
      <c r="P95" s="33"/>
      <c r="Q95" s="33"/>
      <c r="R95" s="33"/>
      <c r="S95" s="33"/>
    </row>
    <row r="96" spans="2:22" s="7" customFormat="1" ht="35.25" customHeight="1">
      <c r="B96" s="284"/>
      <c r="C96" s="284"/>
      <c r="D96" s="284"/>
      <c r="E96" s="284"/>
      <c r="F96" s="284"/>
      <c r="G96" s="284"/>
      <c r="H96" s="284"/>
      <c r="I96" s="284"/>
      <c r="J96" s="284"/>
      <c r="K96" s="284"/>
      <c r="L96" s="284"/>
      <c r="M96" s="284"/>
      <c r="N96" s="284"/>
      <c r="O96" s="284"/>
      <c r="P96" s="284"/>
      <c r="Q96" s="284"/>
      <c r="R96" s="284"/>
      <c r="S96" s="284"/>
      <c r="T96" s="284"/>
      <c r="U96" s="284"/>
      <c r="V96" s="284"/>
    </row>
    <row r="97" spans="2:22" s="7" customFormat="1" ht="45" customHeight="1">
      <c r="B97" s="284"/>
      <c r="C97" s="284"/>
      <c r="D97" s="284"/>
      <c r="E97" s="284"/>
      <c r="F97" s="284"/>
      <c r="G97" s="284"/>
      <c r="H97" s="284"/>
      <c r="I97" s="284"/>
      <c r="J97" s="284"/>
      <c r="K97" s="284"/>
      <c r="L97" s="284"/>
      <c r="M97" s="284"/>
      <c r="N97" s="284"/>
      <c r="O97" s="284"/>
      <c r="P97" s="284"/>
      <c r="Q97" s="284"/>
      <c r="R97" s="284"/>
      <c r="S97" s="284"/>
      <c r="T97" s="284"/>
      <c r="U97" s="284"/>
      <c r="V97" s="284"/>
    </row>
    <row r="98" spans="2:22" s="7" customFormat="1" ht="26.1" customHeight="1"/>
    <row r="99" spans="2:22" s="7" customFormat="1" ht="28.35" customHeight="1"/>
    <row r="100" spans="2:22" s="7" customFormat="1">
      <c r="I100" s="8"/>
      <c r="J100" s="8"/>
      <c r="K100" s="8"/>
      <c r="L100" s="8"/>
      <c r="M100" s="8"/>
      <c r="N100" s="8"/>
      <c r="O100" s="8"/>
    </row>
    <row r="101" spans="2:22" s="7" customFormat="1">
      <c r="K101" s="285"/>
      <c r="L101" s="286"/>
      <c r="M101" s="287"/>
      <c r="N101" s="8"/>
    </row>
    <row r="102" spans="2:22" s="7" customFormat="1">
      <c r="K102" s="288"/>
      <c r="L102" s="286"/>
      <c r="M102" s="287"/>
      <c r="N102" s="8"/>
    </row>
    <row r="103" spans="2:22" s="7" customFormat="1">
      <c r="K103" s="288"/>
      <c r="N103" s="8"/>
    </row>
    <row r="104" spans="2:22" s="7" customFormat="1" ht="15">
      <c r="K104" s="557"/>
      <c r="L104" s="558"/>
      <c r="M104" s="558"/>
      <c r="N104" s="558"/>
    </row>
    <row r="105" spans="2:22" s="7" customFormat="1"/>
    <row r="106" spans="2:22" s="7" customFormat="1"/>
    <row r="107" spans="2:22" s="7" customFormat="1"/>
    <row r="108" spans="2:22" s="7" customFormat="1" ht="15">
      <c r="B108" s="289"/>
    </row>
    <row r="109" spans="2:22" s="7" customFormat="1"/>
    <row r="110" spans="2:22" s="7" customFormat="1"/>
    <row r="111" spans="2:22" s="7" customFormat="1"/>
    <row r="112" spans="2:2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7" customFormat="1"/>
    <row r="258" s="7" customFormat="1"/>
    <row r="259" s="7" customFormat="1"/>
    <row r="260" s="7" customFormat="1"/>
    <row r="261" s="7" customFormat="1"/>
    <row r="262" s="7" customFormat="1"/>
    <row r="263" s="7" customFormat="1"/>
    <row r="264" s="7" customFormat="1"/>
    <row r="265" s="7" customFormat="1"/>
    <row r="266" s="7" customFormat="1"/>
    <row r="267" s="7" customFormat="1"/>
    <row r="268" s="7" customFormat="1"/>
    <row r="269" s="7" customFormat="1"/>
    <row r="270" s="7" customFormat="1"/>
    <row r="271" s="7" customFormat="1"/>
    <row r="272" s="7" customFormat="1"/>
    <row r="273" s="7" customFormat="1"/>
    <row r="274" s="7" customFormat="1"/>
    <row r="275" s="7" customFormat="1"/>
    <row r="276" s="7" customFormat="1"/>
    <row r="277" s="7" customFormat="1"/>
    <row r="278" s="7" customFormat="1"/>
    <row r="279" s="7" customFormat="1"/>
    <row r="280" s="7" customFormat="1"/>
    <row r="281" s="7" customFormat="1"/>
    <row r="282" s="7" customFormat="1"/>
    <row r="283" s="7" customFormat="1"/>
    <row r="284" s="7" customFormat="1"/>
    <row r="285" s="7" customFormat="1"/>
    <row r="286" s="7" customFormat="1"/>
    <row r="287" s="7" customFormat="1"/>
    <row r="288" s="7" customFormat="1"/>
    <row r="289" s="7" customFormat="1"/>
    <row r="290" s="7" customFormat="1"/>
    <row r="291" s="7" customFormat="1"/>
    <row r="292" s="7" customFormat="1"/>
    <row r="293" s="7" customFormat="1"/>
    <row r="294" s="7" customFormat="1"/>
    <row r="295" s="7" customFormat="1"/>
    <row r="296" s="7" customFormat="1"/>
    <row r="297" s="7" customFormat="1"/>
    <row r="298" s="7" customFormat="1"/>
    <row r="299" s="7" customFormat="1"/>
    <row r="300" s="7" customFormat="1"/>
    <row r="301" s="7" customFormat="1"/>
    <row r="302" s="7" customFormat="1"/>
    <row r="303" s="7" customFormat="1"/>
    <row r="304" s="7" customFormat="1"/>
    <row r="305" s="7" customFormat="1"/>
    <row r="306" s="7" customFormat="1"/>
    <row r="307" s="7" customFormat="1"/>
    <row r="308" s="7" customFormat="1"/>
    <row r="309" s="7" customFormat="1"/>
    <row r="310" s="7" customFormat="1"/>
    <row r="311" s="7" customFormat="1"/>
    <row r="312" s="7" customFormat="1"/>
    <row r="313" s="7" customFormat="1"/>
    <row r="314" s="7" customFormat="1"/>
    <row r="315" s="7" customFormat="1"/>
    <row r="316" s="7" customFormat="1"/>
    <row r="317" s="7" customFormat="1"/>
    <row r="318" s="7" customFormat="1"/>
    <row r="319" s="7" customFormat="1"/>
    <row r="320" s="7" customFormat="1"/>
    <row r="321" s="7" customFormat="1"/>
    <row r="322" s="7" customFormat="1"/>
    <row r="323" s="7" customFormat="1"/>
    <row r="324" s="7" customFormat="1"/>
    <row r="325" s="7" customFormat="1"/>
    <row r="326" s="7" customFormat="1"/>
    <row r="327" s="7" customFormat="1"/>
    <row r="328" s="7" customFormat="1"/>
    <row r="329" s="7" customFormat="1"/>
    <row r="330" s="7" customFormat="1"/>
    <row r="331" s="7" customFormat="1"/>
    <row r="332" s="7" customFormat="1"/>
    <row r="333" s="7" customFormat="1"/>
    <row r="334" s="7" customFormat="1"/>
    <row r="335" s="7" customFormat="1"/>
    <row r="336" s="7" customFormat="1"/>
    <row r="337" s="7" customFormat="1"/>
    <row r="338" s="7" customFormat="1"/>
    <row r="339" s="7" customFormat="1"/>
    <row r="340" s="7" customFormat="1"/>
    <row r="341" s="7" customFormat="1"/>
    <row r="342" s="7" customFormat="1"/>
    <row r="343" s="7" customFormat="1"/>
    <row r="344" s="7" customFormat="1"/>
    <row r="345" s="7" customFormat="1"/>
    <row r="346" s="7" customFormat="1"/>
    <row r="347" s="7" customFormat="1"/>
    <row r="348" s="7" customFormat="1"/>
    <row r="349" s="7" customFormat="1"/>
    <row r="350" s="7" customFormat="1"/>
    <row r="351" s="7" customFormat="1"/>
    <row r="352" s="7" customFormat="1"/>
    <row r="353" s="7" customFormat="1"/>
    <row r="354" s="7" customFormat="1"/>
    <row r="355" s="7" customFormat="1"/>
    <row r="356" s="7" customFormat="1"/>
    <row r="357" s="7" customFormat="1"/>
    <row r="358" s="7" customFormat="1"/>
    <row r="359" s="7" customFormat="1"/>
    <row r="360" s="7" customFormat="1"/>
    <row r="361" s="7" customFormat="1"/>
    <row r="362" s="7" customFormat="1"/>
    <row r="363" s="7" customFormat="1"/>
    <row r="364" s="7" customFormat="1"/>
    <row r="365" s="7" customFormat="1"/>
    <row r="366" s="7" customFormat="1"/>
    <row r="367" s="7" customFormat="1"/>
    <row r="368" s="7" customFormat="1"/>
    <row r="369" s="7" customFormat="1"/>
    <row r="370" s="7" customFormat="1"/>
    <row r="371" s="7" customFormat="1"/>
    <row r="372" s="7" customFormat="1"/>
    <row r="373" s="7" customFormat="1"/>
    <row r="374" s="7" customFormat="1"/>
    <row r="375" s="7" customFormat="1"/>
    <row r="376" s="7" customFormat="1"/>
    <row r="377" s="7" customFormat="1"/>
    <row r="378" s="7" customFormat="1"/>
    <row r="379" s="7" customFormat="1"/>
    <row r="380" s="7" customFormat="1"/>
    <row r="381" s="7" customFormat="1"/>
    <row r="382" s="7" customFormat="1"/>
    <row r="383" s="7" customFormat="1"/>
    <row r="384" s="7" customFormat="1"/>
    <row r="385" s="7" customFormat="1"/>
    <row r="386" s="7" customFormat="1"/>
    <row r="387" s="7" customFormat="1"/>
    <row r="388" s="7" customFormat="1"/>
    <row r="389" s="7" customFormat="1"/>
    <row r="390" s="7" customFormat="1"/>
    <row r="391" s="7" customFormat="1"/>
    <row r="392" s="7" customFormat="1"/>
    <row r="393" s="7" customFormat="1"/>
    <row r="394" s="7" customFormat="1"/>
    <row r="395" s="7" customFormat="1"/>
    <row r="396" s="7" customFormat="1"/>
    <row r="397" s="7" customFormat="1"/>
    <row r="398" s="7" customFormat="1"/>
    <row r="399" s="7" customFormat="1"/>
    <row r="400" s="7" customFormat="1"/>
    <row r="401" s="7" customFormat="1"/>
    <row r="402" s="7" customFormat="1"/>
    <row r="403" s="7" customFormat="1"/>
    <row r="404" s="7" customFormat="1"/>
    <row r="405" s="7" customFormat="1"/>
    <row r="406" s="7" customFormat="1"/>
    <row r="407" s="7" customFormat="1"/>
    <row r="408" s="7" customFormat="1"/>
    <row r="409" s="7" customFormat="1"/>
    <row r="410" s="7" customFormat="1"/>
    <row r="411" s="7" customFormat="1"/>
    <row r="412" s="7" customFormat="1"/>
    <row r="413" s="7" customFormat="1"/>
    <row r="414" s="7" customFormat="1"/>
    <row r="415" s="7" customFormat="1"/>
    <row r="416" s="7" customFormat="1"/>
    <row r="417" s="7" customFormat="1"/>
    <row r="418" s="7" customFormat="1"/>
    <row r="419" s="7" customFormat="1"/>
    <row r="420" s="7" customFormat="1"/>
    <row r="421" s="7" customFormat="1"/>
    <row r="422" s="7" customFormat="1"/>
    <row r="423" s="7" customFormat="1"/>
    <row r="424" s="7" customFormat="1"/>
    <row r="425" s="7" customFormat="1"/>
    <row r="426" s="7" customFormat="1"/>
    <row r="427" s="7" customFormat="1"/>
    <row r="428" s="7" customFormat="1"/>
    <row r="429" s="7" customFormat="1"/>
    <row r="430" s="7" customFormat="1"/>
    <row r="431" s="7" customFormat="1"/>
    <row r="432" s="7" customFormat="1"/>
    <row r="433" s="7" customFormat="1"/>
    <row r="434" s="7" customFormat="1"/>
    <row r="435" s="7" customFormat="1"/>
    <row r="436" s="7" customFormat="1"/>
    <row r="437" s="7" customFormat="1"/>
    <row r="438" s="7" customFormat="1"/>
    <row r="439" s="7" customFormat="1"/>
    <row r="440" s="7" customFormat="1"/>
    <row r="441" s="7" customFormat="1"/>
    <row r="442" s="7" customFormat="1"/>
    <row r="443" s="7" customFormat="1"/>
    <row r="444" s="7" customFormat="1"/>
    <row r="445" s="7" customFormat="1"/>
    <row r="446" s="7" customFormat="1"/>
    <row r="447" s="7" customFormat="1"/>
    <row r="448" s="7" customFormat="1"/>
    <row r="449" s="7" customFormat="1"/>
    <row r="450" s="7" customFormat="1"/>
    <row r="451" s="7" customFormat="1"/>
    <row r="452" s="7" customFormat="1"/>
    <row r="453" s="7" customFormat="1"/>
    <row r="454" s="7" customFormat="1"/>
    <row r="455" s="7" customFormat="1"/>
    <row r="456" s="7" customFormat="1"/>
    <row r="457" s="7" customFormat="1"/>
    <row r="458" s="7" customFormat="1"/>
    <row r="459" s="7" customFormat="1"/>
    <row r="460" s="7" customFormat="1"/>
    <row r="461" s="7" customFormat="1"/>
    <row r="462" s="7" customFormat="1"/>
    <row r="463" s="7" customFormat="1"/>
    <row r="464" s="7" customFormat="1"/>
    <row r="465" s="7" customFormat="1"/>
    <row r="466" s="7" customFormat="1"/>
    <row r="467" s="7" customFormat="1"/>
    <row r="468" s="7" customFormat="1"/>
    <row r="469" s="7" customFormat="1"/>
    <row r="470" s="7" customFormat="1"/>
    <row r="471" s="7" customFormat="1"/>
    <row r="472" s="7" customFormat="1"/>
    <row r="473" s="7" customFormat="1"/>
    <row r="474" s="7" customFormat="1"/>
    <row r="475" s="7" customFormat="1"/>
    <row r="476" s="7" customFormat="1"/>
    <row r="477" s="7" customFormat="1"/>
    <row r="478" s="7" customFormat="1"/>
    <row r="479" s="7" customFormat="1"/>
    <row r="480" s="7" customFormat="1"/>
    <row r="481" s="7" customFormat="1"/>
    <row r="482" s="7" customFormat="1"/>
    <row r="483" s="7" customFormat="1"/>
    <row r="484" s="7" customFormat="1"/>
    <row r="485" s="7" customFormat="1"/>
    <row r="486" s="7" customFormat="1"/>
    <row r="487" s="7" customFormat="1"/>
    <row r="488" s="7" customFormat="1"/>
    <row r="489" s="7" customFormat="1"/>
    <row r="490" s="7" customFormat="1"/>
    <row r="491" s="7" customFormat="1"/>
    <row r="492" s="7" customFormat="1"/>
    <row r="493" s="7" customFormat="1"/>
    <row r="494" s="7" customFormat="1"/>
    <row r="495" s="7" customFormat="1"/>
    <row r="496" s="7" customFormat="1"/>
    <row r="497" s="7" customFormat="1"/>
    <row r="498" s="7" customFormat="1"/>
    <row r="499" s="7" customFormat="1"/>
    <row r="500" s="7" customFormat="1"/>
    <row r="501" s="7" customFormat="1"/>
    <row r="502" s="7" customFormat="1"/>
    <row r="503" s="7" customFormat="1"/>
    <row r="504" s="7" customFormat="1"/>
    <row r="505" s="7" customFormat="1"/>
    <row r="506" s="7" customFormat="1"/>
    <row r="507" s="7" customFormat="1"/>
    <row r="508" s="7" customFormat="1"/>
    <row r="509" s="7" customFormat="1"/>
    <row r="510" s="7" customFormat="1"/>
    <row r="511" s="7" customFormat="1"/>
    <row r="512" s="7" customFormat="1"/>
    <row r="513" s="7" customFormat="1"/>
    <row r="514" s="7" customFormat="1"/>
    <row r="515" s="7" customFormat="1"/>
    <row r="516" s="7" customFormat="1"/>
    <row r="517" s="7" customFormat="1"/>
    <row r="518" s="7" customFormat="1"/>
    <row r="519" s="7" customFormat="1"/>
    <row r="520" s="7" customFormat="1"/>
    <row r="521" s="7" customFormat="1"/>
    <row r="522" s="7" customFormat="1"/>
    <row r="523" s="7" customFormat="1"/>
    <row r="524" s="7" customFormat="1"/>
    <row r="525" s="7" customFormat="1"/>
    <row r="526" s="7" customFormat="1"/>
    <row r="527" s="7" customFormat="1"/>
    <row r="528" s="7" customFormat="1"/>
    <row r="529" s="7" customFormat="1"/>
    <row r="530" s="7" customFormat="1"/>
    <row r="531" s="7" customFormat="1"/>
    <row r="532" s="7" customFormat="1"/>
    <row r="533" s="7" customFormat="1"/>
    <row r="534" s="7" customFormat="1"/>
    <row r="535" s="7" customFormat="1"/>
    <row r="536" s="7" customFormat="1"/>
    <row r="537" s="7" customFormat="1"/>
    <row r="538" s="7" customFormat="1"/>
    <row r="539" s="7" customFormat="1"/>
    <row r="540" s="7" customFormat="1"/>
    <row r="541" s="7" customFormat="1"/>
    <row r="542" s="7" customFormat="1"/>
    <row r="543" s="7" customFormat="1"/>
    <row r="544" s="7" customFormat="1"/>
    <row r="545" s="7" customFormat="1"/>
    <row r="546" s="7" customFormat="1"/>
    <row r="547" s="7" customFormat="1"/>
    <row r="548" s="7" customFormat="1"/>
    <row r="549" s="7" customFormat="1"/>
    <row r="550" s="7" customFormat="1"/>
    <row r="551" s="7" customFormat="1"/>
    <row r="552" s="7" customFormat="1"/>
    <row r="553" s="7" customFormat="1"/>
    <row r="554" s="7" customFormat="1"/>
    <row r="555" s="7" customFormat="1"/>
    <row r="556" s="7" customFormat="1"/>
    <row r="557" s="7" customFormat="1"/>
    <row r="558" s="7" customFormat="1"/>
    <row r="559" s="7" customFormat="1"/>
    <row r="560" s="7" customFormat="1"/>
    <row r="561" s="7" customFormat="1"/>
    <row r="562" s="7" customFormat="1"/>
    <row r="563" s="7" customFormat="1"/>
    <row r="564" s="7" customFormat="1"/>
    <row r="565" s="7" customFormat="1"/>
    <row r="566" s="7" customFormat="1"/>
    <row r="567" s="7" customFormat="1"/>
    <row r="568" s="7" customFormat="1"/>
    <row r="569" s="7" customFormat="1"/>
    <row r="570" s="7" customFormat="1"/>
    <row r="571" s="7" customFormat="1"/>
    <row r="572" s="7" customFormat="1"/>
    <row r="573" s="7" customFormat="1"/>
    <row r="574" s="7" customFormat="1"/>
    <row r="575" s="7" customFormat="1"/>
    <row r="576" s="7" customFormat="1"/>
    <row r="577" s="7" customFormat="1"/>
    <row r="578" s="7" customFormat="1"/>
    <row r="579" s="7" customFormat="1"/>
    <row r="580" s="7" customFormat="1"/>
    <row r="581" s="7" customFormat="1"/>
    <row r="582" s="7" customFormat="1"/>
    <row r="583" s="7" customFormat="1"/>
    <row r="584" s="7" customFormat="1"/>
    <row r="585" s="7" customFormat="1"/>
    <row r="586" s="7" customFormat="1"/>
    <row r="587" s="7" customFormat="1"/>
  </sheetData>
  <mergeCells count="47">
    <mergeCell ref="O14:O15"/>
    <mergeCell ref="C40:D40"/>
    <mergeCell ref="M44:M45"/>
    <mergeCell ref="N44:N45"/>
    <mergeCell ref="G12:H12"/>
    <mergeCell ref="G14:H14"/>
    <mergeCell ref="M40:M41"/>
    <mergeCell ref="C32:I32"/>
    <mergeCell ref="C45:H45"/>
    <mergeCell ref="C16:C17"/>
    <mergeCell ref="C19:C20"/>
    <mergeCell ref="G16:H17"/>
    <mergeCell ref="I16:I17"/>
    <mergeCell ref="M13:M15"/>
    <mergeCell ref="N14:N15"/>
    <mergeCell ref="F7:N7"/>
    <mergeCell ref="D10:F11"/>
    <mergeCell ref="D16:D17"/>
    <mergeCell ref="M42:M43"/>
    <mergeCell ref="N40:N41"/>
    <mergeCell ref="N42:N43"/>
    <mergeCell ref="M10:Q11"/>
    <mergeCell ref="G22:H23"/>
    <mergeCell ref="I22:I23"/>
    <mergeCell ref="D19:D20"/>
    <mergeCell ref="M18:R18"/>
    <mergeCell ref="P14:P15"/>
    <mergeCell ref="Q14:Q15"/>
    <mergeCell ref="R14:R15"/>
    <mergeCell ref="G19:H20"/>
    <mergeCell ref="I19:I20"/>
    <mergeCell ref="K104:N104"/>
    <mergeCell ref="M28:R28"/>
    <mergeCell ref="M38:R38"/>
    <mergeCell ref="O40:O41"/>
    <mergeCell ref="P42:P43"/>
    <mergeCell ref="P40:P41"/>
    <mergeCell ref="O42:O43"/>
    <mergeCell ref="M65:R65"/>
    <mergeCell ref="Q44:Q45"/>
    <mergeCell ref="P44:P45"/>
    <mergeCell ref="R44:R45"/>
    <mergeCell ref="Q42:Q43"/>
    <mergeCell ref="R40:R41"/>
    <mergeCell ref="Q40:Q41"/>
    <mergeCell ref="R42:R43"/>
    <mergeCell ref="O44:O45"/>
  </mergeCells>
  <pageMargins left="0.7" right="0.7" top="0.75" bottom="0.75" header="0.3" footer="0.3"/>
  <pageSetup paperSize="9" scale="56" orientation="landscape" horizontalDpi="360" verticalDpi="36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1795C97-29AD-4898-ACC0-F4F998F53347}">
          <x14:formula1>
            <xm:f>'INITIAL DATA'!$C$56:$C$58</xm:f>
          </x14:formula1>
          <xm:sqref>D12</xm:sqref>
        </x14:dataValidation>
        <x14:dataValidation type="list" allowBlank="1" showInputMessage="1" showErrorMessage="1" xr:uid="{453BDA11-A9FD-4C00-997E-1EBC70500214}">
          <x14:formula1>
            <xm:f>'INITIAL DATA'!$C$77:$C$176</xm:f>
          </x14:formula1>
          <xm:sqref>I14</xm:sqref>
        </x14:dataValidation>
        <x14:dataValidation type="list" allowBlank="1" showInputMessage="1" showErrorMessage="1" xr:uid="{873508F7-D004-4F8A-86D0-0A7E27693BAA}">
          <x14:formula1>
            <xm:f>'INITIAL DATA'!$C$65:$C$66</xm:f>
          </x14:formula1>
          <xm:sqref>I16 I25 H18 I19 D19 I22</xm:sqref>
        </x14:dataValidation>
        <x14:dataValidation type="list" operator="equal" allowBlank="1" showErrorMessage="1" promptTitle="Deposit Fee" prompt="Select Deposit Fee Value" xr:uid="{032DDE97-FC55-48D2-956B-A1C18BD978C0}">
          <x14:formula1>
            <xm:f>'INITIAL DATA'!$F$57:$F$70</xm:f>
          </x14:formula1>
          <xm:sqref>I12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AC299"/>
  <sheetViews>
    <sheetView view="pageBreakPreview" zoomScale="70" zoomScaleNormal="107" zoomScaleSheetLayoutView="70" workbookViewId="0">
      <selection activeCell="L80" sqref="L80"/>
    </sheetView>
  </sheetViews>
  <sheetFormatPr defaultColWidth="8.7109375" defaultRowHeight="14.25"/>
  <cols>
    <col min="1" max="1" width="4.7109375" style="11" customWidth="1"/>
    <col min="2" max="2" width="5.7109375" style="11" customWidth="1"/>
    <col min="3" max="3" width="23.85546875" style="11" customWidth="1"/>
    <col min="4" max="4" width="19.7109375" style="11" bestFit="1" customWidth="1"/>
    <col min="5" max="5" width="18.42578125" style="11" customWidth="1"/>
    <col min="6" max="6" width="16.5703125" style="11" customWidth="1"/>
    <col min="7" max="7" width="21.28515625" style="11" customWidth="1"/>
    <col min="8" max="8" width="16" style="11" customWidth="1"/>
    <col min="9" max="9" width="21.140625" style="11" customWidth="1"/>
    <col min="10" max="10" width="14.42578125" style="11" bestFit="1" customWidth="1"/>
    <col min="11" max="11" width="16.28515625" style="11" customWidth="1"/>
    <col min="12" max="12" width="15.42578125" style="11" customWidth="1"/>
    <col min="13" max="13" width="13.42578125" style="11" customWidth="1"/>
    <col min="14" max="14" width="18.28515625" style="11" customWidth="1"/>
    <col min="15" max="15" width="15.7109375" style="11" customWidth="1"/>
    <col min="16" max="16" width="19.28515625" style="11" customWidth="1"/>
    <col min="17" max="17" width="17.28515625" style="11" customWidth="1"/>
    <col min="18" max="18" width="19.28515625" style="11" customWidth="1"/>
    <col min="19" max="19" width="15.7109375" style="11" customWidth="1"/>
    <col min="20" max="20" width="18.140625" style="11" customWidth="1"/>
    <col min="21" max="21" width="16" style="11" customWidth="1"/>
    <col min="22" max="22" width="18.7109375" style="11" customWidth="1"/>
    <col min="23" max="23" width="16.42578125" style="11" customWidth="1"/>
    <col min="24" max="24" width="12.7109375" style="11" customWidth="1"/>
    <col min="25" max="25" width="15" style="11" customWidth="1"/>
    <col min="26" max="26" width="13.42578125" style="11" bestFit="1" customWidth="1"/>
    <col min="27" max="27" width="60.42578125" style="11" customWidth="1"/>
    <col min="28" max="28" width="30.7109375" style="11" customWidth="1"/>
    <col min="29" max="29" width="95.42578125" style="11" customWidth="1"/>
    <col min="30" max="30" width="8.7109375" style="11"/>
    <col min="31" max="31" width="13.42578125" style="11" customWidth="1"/>
    <col min="32" max="32" width="8.7109375" style="11"/>
    <col min="33" max="33" width="12.42578125" style="11" customWidth="1"/>
    <col min="34" max="38" width="8.7109375" style="11"/>
    <col min="39" max="39" width="13.140625" style="11" customWidth="1"/>
    <col min="40" max="16384" width="8.7109375" style="11"/>
  </cols>
  <sheetData>
    <row r="1" spans="2:29" s="258" customFormat="1" ht="22.9" customHeight="1">
      <c r="B1" s="259"/>
    </row>
    <row r="2" spans="2:29" s="258" customFormat="1" ht="22.9" customHeight="1">
      <c r="B2" s="259"/>
      <c r="C2" s="458" t="s">
        <v>369</v>
      </c>
      <c r="D2" s="260"/>
    </row>
    <row r="3" spans="2:29" s="258" customFormat="1" ht="22.9" customHeight="1">
      <c r="B3" s="259"/>
      <c r="C3" s="458" t="s">
        <v>381</v>
      </c>
      <c r="D3" s="260"/>
    </row>
    <row r="4" spans="2:29" s="258" customFormat="1" ht="22.9" customHeight="1">
      <c r="B4" s="259"/>
      <c r="C4" s="459"/>
    </row>
    <row r="5" spans="2:29" s="258" customFormat="1" ht="22.9" customHeight="1">
      <c r="B5" s="259"/>
      <c r="C5" s="261"/>
    </row>
    <row r="6" spans="2:29" ht="15.75" customHeight="1"/>
    <row r="7" spans="2:29" ht="15.75" customHeight="1">
      <c r="M7" s="604" t="s">
        <v>52</v>
      </c>
      <c r="N7" s="604"/>
      <c r="O7" s="604"/>
      <c r="P7" s="604"/>
      <c r="Q7" s="604"/>
      <c r="R7" s="604"/>
      <c r="T7" s="607" t="s">
        <v>53</v>
      </c>
      <c r="U7" s="607"/>
      <c r="V7" s="607"/>
      <c r="W7" s="607"/>
      <c r="X7" s="607"/>
      <c r="Y7" s="607"/>
    </row>
    <row r="8" spans="2:29" ht="15.75" customHeight="1">
      <c r="M8" s="209" t="s">
        <v>23</v>
      </c>
      <c r="N8" s="211" t="s">
        <v>24</v>
      </c>
      <c r="O8" s="245" t="s">
        <v>54</v>
      </c>
      <c r="P8" s="416" t="s">
        <v>27</v>
      </c>
      <c r="Q8" s="243"/>
      <c r="R8" s="243"/>
      <c r="T8" s="317"/>
      <c r="U8" s="151">
        <v>2024</v>
      </c>
      <c r="V8" s="151">
        <v>2025</v>
      </c>
      <c r="W8" s="151">
        <v>2026</v>
      </c>
      <c r="X8" s="151">
        <v>2027</v>
      </c>
      <c r="Y8" s="151">
        <v>2028</v>
      </c>
    </row>
    <row r="9" spans="2:29" ht="15.75" customHeight="1">
      <c r="M9" s="501">
        <v>0.03</v>
      </c>
      <c r="N9" s="501">
        <v>0.34</v>
      </c>
      <c r="O9" s="501">
        <v>1.2999999999999999E-2</v>
      </c>
      <c r="P9" s="501">
        <v>0.03</v>
      </c>
      <c r="Q9" s="501"/>
      <c r="R9" s="501"/>
      <c r="T9" s="209" t="s">
        <v>23</v>
      </c>
      <c r="U9" s="502">
        <v>0.04</v>
      </c>
      <c r="V9" s="502">
        <v>0.08</v>
      </c>
      <c r="W9" s="502">
        <v>0.1</v>
      </c>
      <c r="X9" s="502">
        <v>0.08</v>
      </c>
      <c r="Y9" s="502">
        <v>7.0000000000000007E-2</v>
      </c>
    </row>
    <row r="10" spans="2:29" ht="15.75" customHeight="1">
      <c r="T10" s="211" t="s">
        <v>24</v>
      </c>
      <c r="U10" s="502">
        <v>0.02</v>
      </c>
      <c r="V10" s="502">
        <v>0</v>
      </c>
      <c r="W10" s="502">
        <v>-0.02</v>
      </c>
      <c r="X10" s="502">
        <v>-0.02</v>
      </c>
      <c r="Y10" s="502">
        <v>-0.04</v>
      </c>
    </row>
    <row r="11" spans="2:29" ht="15.75" customHeight="1">
      <c r="T11" s="245" t="s">
        <v>54</v>
      </c>
      <c r="U11" s="502">
        <v>0.05</v>
      </c>
      <c r="V11" s="502">
        <v>0.08</v>
      </c>
      <c r="W11" s="502">
        <v>0.1</v>
      </c>
      <c r="X11" s="502">
        <v>0.08</v>
      </c>
      <c r="Y11" s="502">
        <v>0.05</v>
      </c>
    </row>
    <row r="12" spans="2:29" ht="15.75" customHeight="1">
      <c r="T12" s="416" t="s">
        <v>27</v>
      </c>
      <c r="U12" s="502">
        <v>0.02</v>
      </c>
      <c r="V12" s="502">
        <v>0.01</v>
      </c>
      <c r="W12" s="502">
        <v>-0.03</v>
      </c>
      <c r="X12" s="502">
        <v>-0.05</v>
      </c>
      <c r="Y12" s="502">
        <v>-0.1</v>
      </c>
    </row>
    <row r="13" spans="2:29" ht="15.75" customHeight="1">
      <c r="M13" s="22"/>
      <c r="N13" s="22"/>
      <c r="O13" s="22"/>
      <c r="P13" s="22"/>
      <c r="Q13" s="22"/>
      <c r="R13" s="26"/>
      <c r="S13" s="26"/>
      <c r="T13" s="243"/>
      <c r="U13" s="502">
        <v>0.03</v>
      </c>
      <c r="V13" s="502">
        <v>0.01</v>
      </c>
      <c r="W13" s="502">
        <v>-0.01</v>
      </c>
      <c r="X13" s="502">
        <v>-0.05</v>
      </c>
      <c r="Y13" s="502">
        <v>-0.15</v>
      </c>
    </row>
    <row r="14" spans="2:29" ht="15.75" customHeight="1">
      <c r="M14" s="132"/>
      <c r="P14" s="171"/>
      <c r="Q14" s="19"/>
      <c r="R14" s="19"/>
      <c r="S14" s="19"/>
    </row>
    <row r="15" spans="2:29" ht="15.75" customHeight="1"/>
    <row r="16" spans="2:29" ht="15.75" customHeight="1">
      <c r="C16" s="606" t="s">
        <v>55</v>
      </c>
      <c r="D16" s="606"/>
      <c r="E16" s="606"/>
      <c r="F16" s="606"/>
      <c r="G16" s="606"/>
      <c r="H16" s="606"/>
      <c r="I16" s="606"/>
      <c r="J16" s="606"/>
      <c r="K16" s="606"/>
      <c r="L16" s="606"/>
      <c r="M16" s="606"/>
      <c r="N16" s="606"/>
      <c r="O16" s="606"/>
      <c r="P16" s="606"/>
      <c r="Q16" s="606"/>
      <c r="R16" s="606"/>
      <c r="S16" s="606"/>
      <c r="T16" s="606"/>
      <c r="U16" s="606"/>
      <c r="V16" s="606"/>
      <c r="W16" s="606"/>
      <c r="X16" s="606"/>
      <c r="Y16" s="606"/>
      <c r="Z16" s="606"/>
      <c r="AA16" s="26"/>
      <c r="AB16" s="26"/>
      <c r="AC16" s="26"/>
    </row>
    <row r="17" spans="3:29" ht="15.75" customHeight="1">
      <c r="C17" s="604" t="s">
        <v>56</v>
      </c>
      <c r="D17" s="604"/>
      <c r="E17" s="604"/>
      <c r="F17" s="604"/>
      <c r="G17" s="604"/>
      <c r="H17" s="604"/>
      <c r="I17" s="604"/>
      <c r="J17" s="604"/>
      <c r="K17" s="604"/>
      <c r="L17" s="604"/>
      <c r="M17" s="604"/>
      <c r="N17" s="604"/>
      <c r="O17" s="604"/>
      <c r="P17" s="604"/>
      <c r="Q17" s="604"/>
      <c r="R17" s="604"/>
      <c r="S17" s="604"/>
      <c r="T17" s="604"/>
      <c r="U17" s="604"/>
      <c r="V17" s="604"/>
      <c r="W17" s="604"/>
      <c r="X17" s="604"/>
      <c r="Y17" s="604"/>
      <c r="Z17" s="604"/>
      <c r="AA17" s="26"/>
      <c r="AB17" s="26"/>
      <c r="AC17" s="26"/>
    </row>
    <row r="18" spans="3:29" ht="15.75" customHeight="1">
      <c r="C18" s="151"/>
      <c r="D18" s="605" t="s">
        <v>304</v>
      </c>
      <c r="E18" s="605"/>
      <c r="F18" s="605"/>
      <c r="G18" s="603" t="s">
        <v>11</v>
      </c>
      <c r="H18" s="603"/>
      <c r="I18" s="603"/>
      <c r="J18" s="603"/>
      <c r="K18" s="603" t="s">
        <v>12</v>
      </c>
      <c r="L18" s="603"/>
      <c r="M18" s="603"/>
      <c r="N18" s="603"/>
      <c r="O18" s="603" t="s">
        <v>13</v>
      </c>
      <c r="P18" s="603"/>
      <c r="Q18" s="603"/>
      <c r="R18" s="603"/>
      <c r="S18" s="603" t="s">
        <v>14</v>
      </c>
      <c r="T18" s="603"/>
      <c r="U18" s="603"/>
      <c r="V18" s="603"/>
      <c r="W18" s="603" t="s">
        <v>15</v>
      </c>
      <c r="X18" s="603"/>
      <c r="Y18" s="603"/>
      <c r="Z18" s="603"/>
    </row>
    <row r="19" spans="3:29" ht="30">
      <c r="C19" s="349" t="s">
        <v>57</v>
      </c>
      <c r="D19" s="346" t="s">
        <v>290</v>
      </c>
      <c r="E19" s="346" t="s">
        <v>59</v>
      </c>
      <c r="F19" s="349" t="s">
        <v>57</v>
      </c>
      <c r="G19" s="447" t="s">
        <v>59</v>
      </c>
      <c r="H19" s="447" t="s">
        <v>60</v>
      </c>
      <c r="I19" s="447" t="s">
        <v>58</v>
      </c>
      <c r="J19" s="447" t="s">
        <v>61</v>
      </c>
      <c r="K19" s="447" t="s">
        <v>59</v>
      </c>
      <c r="L19" s="447" t="s">
        <v>60</v>
      </c>
      <c r="M19" s="447" t="s">
        <v>58</v>
      </c>
      <c r="N19" s="447" t="s">
        <v>61</v>
      </c>
      <c r="O19" s="447" t="s">
        <v>59</v>
      </c>
      <c r="P19" s="447" t="s">
        <v>60</v>
      </c>
      <c r="Q19" s="447" t="s">
        <v>58</v>
      </c>
      <c r="R19" s="447" t="s">
        <v>61</v>
      </c>
      <c r="S19" s="447" t="s">
        <v>59</v>
      </c>
      <c r="T19" s="447" t="s">
        <v>60</v>
      </c>
      <c r="U19" s="447" t="s">
        <v>58</v>
      </c>
      <c r="V19" s="447" t="s">
        <v>61</v>
      </c>
      <c r="W19" s="447" t="s">
        <v>59</v>
      </c>
      <c r="X19" s="447" t="s">
        <v>60</v>
      </c>
      <c r="Y19" s="447" t="s">
        <v>58</v>
      </c>
      <c r="Z19" s="447" t="s">
        <v>61</v>
      </c>
    </row>
    <row r="20" spans="3:29" ht="15.75" customHeight="1">
      <c r="C20" s="455" t="s">
        <v>23</v>
      </c>
      <c r="D20" s="456">
        <f>E20*M9</f>
        <v>724000</v>
      </c>
      <c r="E20" s="456">
        <f>Questions!C23</f>
        <v>24133333.333333336</v>
      </c>
      <c r="F20" s="455" t="s">
        <v>23</v>
      </c>
      <c r="G20" s="291">
        <f>E20*(1+$U$9)</f>
        <v>25098666.666666672</v>
      </c>
      <c r="H20" s="448">
        <f>G20/G$26</f>
        <v>7.6931444288753204E-2</v>
      </c>
      <c r="I20" s="291">
        <f>G20*$M$9</f>
        <v>752960.00000000012</v>
      </c>
      <c r="J20" s="449">
        <f>I20/I$26</f>
        <v>0.10057441325804145</v>
      </c>
      <c r="K20" s="291">
        <f>G20*(1+$V$9)</f>
        <v>27106560.000000007</v>
      </c>
      <c r="L20" s="448">
        <f t="shared" ref="L20:L25" si="0">K20/K$26</f>
        <v>8.1978647228449386E-2</v>
      </c>
      <c r="M20" s="291">
        <f>K20*$M$9</f>
        <v>813196.80000000016</v>
      </c>
      <c r="N20" s="449">
        <f t="shared" ref="N20:N25" si="1">M20/M$26</f>
        <v>0.10420905141751216</v>
      </c>
      <c r="O20" s="291">
        <f>K20*(1+$W$9)</f>
        <v>29817216.000000011</v>
      </c>
      <c r="P20" s="448">
        <f t="shared" ref="P20:P25" si="2">O20/O$26</f>
        <v>9.0033336683338391E-2</v>
      </c>
      <c r="Q20" s="291">
        <f>O20*$M$9</f>
        <v>894516.48000000033</v>
      </c>
      <c r="R20" s="449">
        <f t="shared" ref="R20:R25" si="3">Q20/Q$26</f>
        <v>0.10961068525258701</v>
      </c>
      <c r="S20" s="291">
        <f>O20*(1+$X$9)</f>
        <v>32202593.280000012</v>
      </c>
      <c r="T20" s="448">
        <f t="shared" ref="T20:T25" si="4">S20/S$26</f>
        <v>9.7259381146517887E-2</v>
      </c>
      <c r="U20" s="291">
        <f>S20*$M$9</f>
        <v>966077.79840000032</v>
      </c>
      <c r="V20" s="449">
        <f t="shared" ref="V20:V25" si="5">U20/U$26</f>
        <v>0.1140822427863616</v>
      </c>
      <c r="W20" s="291">
        <f>S20*(1+$Y$9)</f>
        <v>34456774.809600018</v>
      </c>
      <c r="X20" s="448">
        <f t="shared" ref="X20:X25" si="6">W20/W$26</f>
        <v>0.10600386559338375</v>
      </c>
      <c r="Y20" s="291">
        <f>W20*$M$9</f>
        <v>1033703.2442880005</v>
      </c>
      <c r="Z20" s="449">
        <f t="shared" ref="Z20:Z25" si="7">Y20/Y$26</f>
        <v>0.11921002264585397</v>
      </c>
    </row>
    <row r="21" spans="3:29" ht="15.75" customHeight="1">
      <c r="C21" s="443" t="s">
        <v>24</v>
      </c>
      <c r="D21" s="456">
        <f>E21*N9</f>
        <v>2435000</v>
      </c>
      <c r="E21" s="456">
        <f>Questions!C24</f>
        <v>7161764.7058823528</v>
      </c>
      <c r="F21" s="443" t="s">
        <v>24</v>
      </c>
      <c r="G21" s="291">
        <f>E21*(1+$U$9)</f>
        <v>7448235.2941176472</v>
      </c>
      <c r="H21" s="448">
        <f t="shared" ref="H21:H25" si="8">G21/G$26</f>
        <v>2.283003739556963E-2</v>
      </c>
      <c r="I21" s="291">
        <f>G21*$N$9</f>
        <v>2532400.0000000005</v>
      </c>
      <c r="J21" s="449">
        <f t="shared" ref="J21:J25" si="9">I21/I$26</f>
        <v>0.338257867794656</v>
      </c>
      <c r="K21" s="291">
        <f>G21*(1+$V$9)</f>
        <v>8044094.1176470593</v>
      </c>
      <c r="L21" s="448">
        <f t="shared" si="0"/>
        <v>2.4327836285498158E-2</v>
      </c>
      <c r="M21" s="291">
        <f>K21*$N$9</f>
        <v>2734992.0000000005</v>
      </c>
      <c r="N21" s="449">
        <f t="shared" si="1"/>
        <v>0.35048209972602501</v>
      </c>
      <c r="O21" s="291">
        <f>K21*(1+$W$9)</f>
        <v>8848503.5294117667</v>
      </c>
      <c r="P21" s="448">
        <f t="shared" si="2"/>
        <v>2.671813147837938E-2</v>
      </c>
      <c r="Q21" s="291">
        <f>O21*$N$9</f>
        <v>3008491.2000000011</v>
      </c>
      <c r="R21" s="449">
        <f t="shared" si="3"/>
        <v>0.36864919694758197</v>
      </c>
      <c r="S21" s="291">
        <f>O21*(1+$X$9)</f>
        <v>9556383.8117647078</v>
      </c>
      <c r="T21" s="448">
        <f t="shared" si="4"/>
        <v>2.8862519470072838E-2</v>
      </c>
      <c r="U21" s="291">
        <f>S21*$N$9</f>
        <v>3249170.4960000007</v>
      </c>
      <c r="V21" s="449">
        <f t="shared" si="5"/>
        <v>0.38368820605634041</v>
      </c>
      <c r="W21" s="291">
        <f>S21*(1+$Y$9)</f>
        <v>10225330.678588238</v>
      </c>
      <c r="X21" s="448">
        <f t="shared" si="6"/>
        <v>3.1457516987311827E-2</v>
      </c>
      <c r="Y21" s="291">
        <f>W21*$N$9</f>
        <v>3476612.430720001</v>
      </c>
      <c r="Z21" s="449">
        <f t="shared" si="7"/>
        <v>0.40093426124676013</v>
      </c>
    </row>
    <row r="22" spans="3:29" ht="15.75" customHeight="1">
      <c r="C22" s="443" t="s">
        <v>62</v>
      </c>
      <c r="D22" s="456">
        <f>E22*O9</f>
        <v>3456000</v>
      </c>
      <c r="E22" s="456">
        <f>Questions!C25</f>
        <v>265846153.84615386</v>
      </c>
      <c r="F22" s="443" t="s">
        <v>62</v>
      </c>
      <c r="G22" s="291">
        <f>E22*(1+$U$10)</f>
        <v>271163076.92307693</v>
      </c>
      <c r="H22" s="448">
        <f t="shared" si="8"/>
        <v>0.83115838074298454</v>
      </c>
      <c r="I22" s="291">
        <f>G22*$O$9</f>
        <v>3525120</v>
      </c>
      <c r="J22" s="449">
        <f t="shared" si="9"/>
        <v>0.47085751655358454</v>
      </c>
      <c r="K22" s="291">
        <f>G22*(1+$V$10)</f>
        <v>271163076.92307693</v>
      </c>
      <c r="L22" s="448">
        <f t="shared" si="0"/>
        <v>0.82008127274201525</v>
      </c>
      <c r="M22" s="291">
        <f>K22*$O$9</f>
        <v>3525120</v>
      </c>
      <c r="N22" s="449">
        <f t="shared" si="1"/>
        <v>0.45173494452130208</v>
      </c>
      <c r="O22" s="291">
        <f>K22*(1+$W$10)</f>
        <v>265739815.38461539</v>
      </c>
      <c r="P22" s="448">
        <f t="shared" si="2"/>
        <v>0.80240362710895796</v>
      </c>
      <c r="Q22" s="291">
        <f>O22*$O$9</f>
        <v>3454617.6000000001</v>
      </c>
      <c r="R22" s="449">
        <f t="shared" si="3"/>
        <v>0.42331584815703716</v>
      </c>
      <c r="S22" s="291">
        <f>O22*(1+$X$10)</f>
        <v>260425019.07692307</v>
      </c>
      <c r="T22" s="448">
        <f t="shared" si="4"/>
        <v>0.78654461056161384</v>
      </c>
      <c r="U22" s="291">
        <f>S22*$O$9</f>
        <v>3385525.2479999997</v>
      </c>
      <c r="V22" s="449">
        <f t="shared" si="5"/>
        <v>0.39979007274709866</v>
      </c>
      <c r="W22" s="291">
        <f>S22*(1+$Y$10)</f>
        <v>250008018.31384614</v>
      </c>
      <c r="X22" s="448">
        <f t="shared" si="6"/>
        <v>0.76913223936517372</v>
      </c>
      <c r="Y22" s="291">
        <f>W22*$O$9</f>
        <v>3250104.2380799996</v>
      </c>
      <c r="Z22" s="449">
        <f t="shared" si="7"/>
        <v>0.37481259922887161</v>
      </c>
    </row>
    <row r="23" spans="3:29" ht="15.75" customHeight="1">
      <c r="C23" s="443" t="s">
        <v>27</v>
      </c>
      <c r="D23" s="456">
        <f>E23*P9</f>
        <v>643920</v>
      </c>
      <c r="E23" s="456">
        <f>Questions!C26</f>
        <v>21464000</v>
      </c>
      <c r="F23" s="443" t="s">
        <v>27</v>
      </c>
      <c r="G23" s="291">
        <f>E23*(1+$U$11)</f>
        <v>22537200</v>
      </c>
      <c r="H23" s="448">
        <f t="shared" si="8"/>
        <v>6.9080137572692643E-2</v>
      </c>
      <c r="I23" s="291">
        <f>G23*$P$9</f>
        <v>676116</v>
      </c>
      <c r="J23" s="449">
        <f t="shared" si="9"/>
        <v>9.031020239371805E-2</v>
      </c>
      <c r="K23" s="291">
        <f>G23*(1+$V$11)</f>
        <v>24340176</v>
      </c>
      <c r="L23" s="448">
        <f t="shared" si="0"/>
        <v>7.3612243744037228E-2</v>
      </c>
      <c r="M23" s="291">
        <f>K23*$P$9</f>
        <v>730205.28</v>
      </c>
      <c r="N23" s="449">
        <f t="shared" si="1"/>
        <v>9.3573904335160746E-2</v>
      </c>
      <c r="O23" s="291">
        <f>K23*(1+$W$11)</f>
        <v>26774193.600000001</v>
      </c>
      <c r="P23" s="448">
        <f t="shared" si="2"/>
        <v>8.0844904729324263E-2</v>
      </c>
      <c r="Q23" s="291">
        <f>O23*$P$9</f>
        <v>803225.80799999996</v>
      </c>
      <c r="R23" s="449">
        <f t="shared" si="3"/>
        <v>9.8424269642793882E-2</v>
      </c>
      <c r="S23" s="291">
        <f>O23*(1+$X$11)</f>
        <v>28916129.088000003</v>
      </c>
      <c r="T23" s="448">
        <f t="shared" si="4"/>
        <v>8.7333488821795396E-2</v>
      </c>
      <c r="U23" s="291">
        <f>S23*$P$9</f>
        <v>867483.87264000007</v>
      </c>
      <c r="V23" s="449">
        <f t="shared" si="5"/>
        <v>0.10243947841019926</v>
      </c>
      <c r="W23" s="291">
        <f>S23*(1+$Y$11)</f>
        <v>30361935.542400006</v>
      </c>
      <c r="X23" s="448">
        <f t="shared" si="6"/>
        <v>9.3406378054130823E-2</v>
      </c>
      <c r="Y23" s="291">
        <f>W23*$P$9</f>
        <v>910858.0662720002</v>
      </c>
      <c r="Z23" s="449">
        <f t="shared" si="7"/>
        <v>0.10504311687851434</v>
      </c>
    </row>
    <row r="24" spans="3:29" ht="15.75" customHeight="1">
      <c r="C24" s="443"/>
      <c r="D24" s="456"/>
      <c r="E24" s="456"/>
      <c r="F24" s="443"/>
      <c r="G24" s="291">
        <f>E24*(1+U12)</f>
        <v>0</v>
      </c>
      <c r="H24" s="448">
        <f t="shared" si="8"/>
        <v>0</v>
      </c>
      <c r="I24" s="291">
        <f>G24*$Q$9</f>
        <v>0</v>
      </c>
      <c r="J24" s="449">
        <f t="shared" si="9"/>
        <v>0</v>
      </c>
      <c r="K24" s="291">
        <f>G24*(1+$V$12)</f>
        <v>0</v>
      </c>
      <c r="L24" s="448">
        <f t="shared" si="0"/>
        <v>0</v>
      </c>
      <c r="M24" s="291">
        <f>K24*$Q$9</f>
        <v>0</v>
      </c>
      <c r="N24" s="449">
        <f t="shared" si="1"/>
        <v>0</v>
      </c>
      <c r="O24" s="291">
        <f>K24*(1+$W$12)</f>
        <v>0</v>
      </c>
      <c r="P24" s="448">
        <f t="shared" si="2"/>
        <v>0</v>
      </c>
      <c r="Q24" s="291">
        <f>O24*$Q$9</f>
        <v>0</v>
      </c>
      <c r="R24" s="449">
        <f t="shared" si="3"/>
        <v>0</v>
      </c>
      <c r="S24" s="291">
        <f>O24*(1+$X$12)</f>
        <v>0</v>
      </c>
      <c r="T24" s="448">
        <f t="shared" si="4"/>
        <v>0</v>
      </c>
      <c r="U24" s="291">
        <f>S24*$Q$9</f>
        <v>0</v>
      </c>
      <c r="V24" s="449">
        <f t="shared" si="5"/>
        <v>0</v>
      </c>
      <c r="W24" s="291">
        <f>S24*(1+$Y$12)</f>
        <v>0</v>
      </c>
      <c r="X24" s="448">
        <f t="shared" si="6"/>
        <v>0</v>
      </c>
      <c r="Y24" s="291">
        <f>W24*$Q$9</f>
        <v>0</v>
      </c>
      <c r="Z24" s="449">
        <f t="shared" si="7"/>
        <v>0</v>
      </c>
    </row>
    <row r="25" spans="3:29" ht="15.75" customHeight="1">
      <c r="C25" s="443"/>
      <c r="D25" s="456"/>
      <c r="E25" s="456"/>
      <c r="F25" s="443"/>
      <c r="G25" s="291">
        <f>E25*(1+U13)</f>
        <v>0</v>
      </c>
      <c r="H25" s="448">
        <f t="shared" si="8"/>
        <v>0</v>
      </c>
      <c r="I25" s="291">
        <f>G25*$R$9</f>
        <v>0</v>
      </c>
      <c r="J25" s="449">
        <f t="shared" si="9"/>
        <v>0</v>
      </c>
      <c r="K25" s="291">
        <f>G25*(1+$V$13)</f>
        <v>0</v>
      </c>
      <c r="L25" s="448">
        <f t="shared" si="0"/>
        <v>0</v>
      </c>
      <c r="M25" s="291">
        <f>K25*$R$9</f>
        <v>0</v>
      </c>
      <c r="N25" s="449">
        <f t="shared" si="1"/>
        <v>0</v>
      </c>
      <c r="O25" s="291">
        <f>K25*(1+$W$13)</f>
        <v>0</v>
      </c>
      <c r="P25" s="448">
        <f t="shared" si="2"/>
        <v>0</v>
      </c>
      <c r="Q25" s="291">
        <f>O25*$R$9</f>
        <v>0</v>
      </c>
      <c r="R25" s="449">
        <f t="shared" si="3"/>
        <v>0</v>
      </c>
      <c r="S25" s="291">
        <f>O25*(1+$X$13)</f>
        <v>0</v>
      </c>
      <c r="T25" s="448">
        <f t="shared" si="4"/>
        <v>0</v>
      </c>
      <c r="U25" s="291">
        <f>S25*$R$9</f>
        <v>0</v>
      </c>
      <c r="V25" s="449">
        <f t="shared" si="5"/>
        <v>0</v>
      </c>
      <c r="W25" s="291">
        <f>S25*(1+$X$13)</f>
        <v>0</v>
      </c>
      <c r="X25" s="448">
        <f t="shared" si="6"/>
        <v>0</v>
      </c>
      <c r="Y25" s="291">
        <f>W25*$R$9</f>
        <v>0</v>
      </c>
      <c r="Z25" s="449">
        <f t="shared" si="7"/>
        <v>0</v>
      </c>
    </row>
    <row r="26" spans="3:29" ht="15.75" customHeight="1">
      <c r="C26" s="150" t="s">
        <v>20</v>
      </c>
      <c r="D26" s="457">
        <f>SUM(D20:D25)</f>
        <v>7258920</v>
      </c>
      <c r="E26" s="457">
        <f>SUM(E20:E25)</f>
        <v>318605251.88536954</v>
      </c>
      <c r="F26" s="150" t="s">
        <v>20</v>
      </c>
      <c r="G26" s="213">
        <f>SUM(G20:G25)</f>
        <v>326247178.88386124</v>
      </c>
      <c r="H26" s="317"/>
      <c r="I26" s="213">
        <f>SUM(I20:I25)</f>
        <v>7486596</v>
      </c>
      <c r="J26" s="213"/>
      <c r="K26" s="213">
        <f>SUM(K20:K25)</f>
        <v>330653907.04072398</v>
      </c>
      <c r="L26" s="317"/>
      <c r="M26" s="213">
        <f>SUM(M20:M25)</f>
        <v>7803514.080000001</v>
      </c>
      <c r="N26" s="213"/>
      <c r="O26" s="213">
        <f>SUM(O20:O25)</f>
        <v>331179728.51402718</v>
      </c>
      <c r="P26" s="317"/>
      <c r="Q26" s="213">
        <f>SUM(Q20:Q25)</f>
        <v>8160851.0880000014</v>
      </c>
      <c r="R26" s="213"/>
      <c r="S26" s="213">
        <f>SUM(S20:S25)</f>
        <v>331100125.25668782</v>
      </c>
      <c r="T26" s="317"/>
      <c r="U26" s="213">
        <f>SUM(U20:U25)</f>
        <v>8468257.4150400013</v>
      </c>
      <c r="V26" s="213"/>
      <c r="W26" s="213">
        <f>SUM(W20:W25)</f>
        <v>325052059.34443438</v>
      </c>
      <c r="X26" s="317"/>
      <c r="Y26" s="213">
        <f>SUM(Y20:Y25)</f>
        <v>8671277.9793600012</v>
      </c>
      <c r="Z26" s="317"/>
      <c r="AA26" s="290"/>
    </row>
    <row r="27" spans="3:29" ht="15.75" customHeight="1"/>
    <row r="28" spans="3:29" ht="15.75" customHeight="1"/>
    <row r="29" spans="3:29" ht="20.25" customHeight="1">
      <c r="C29" s="622" t="s">
        <v>63</v>
      </c>
      <c r="D29" s="622"/>
      <c r="E29" s="622"/>
      <c r="F29" s="622"/>
      <c r="G29" s="622"/>
      <c r="H29" s="622"/>
      <c r="I29" s="622"/>
      <c r="J29" s="622"/>
      <c r="K29" s="622"/>
      <c r="L29" s="622"/>
      <c r="M29" s="622"/>
      <c r="N29" s="622"/>
      <c r="O29" s="622"/>
      <c r="P29" s="622"/>
      <c r="Q29" s="622"/>
      <c r="R29" s="622"/>
      <c r="S29" s="622"/>
      <c r="T29" s="622"/>
      <c r="U29" s="622"/>
      <c r="V29" s="622"/>
      <c r="W29" s="622"/>
      <c r="X29" s="22"/>
      <c r="Y29" s="22"/>
    </row>
    <row r="30" spans="3:29" ht="15.75" customHeight="1">
      <c r="C30" s="604" t="s">
        <v>64</v>
      </c>
      <c r="D30" s="604"/>
      <c r="E30" s="604"/>
      <c r="F30" s="604"/>
      <c r="G30" s="604"/>
      <c r="H30" s="604"/>
      <c r="I30" s="604"/>
      <c r="J30" s="604"/>
      <c r="K30" s="604"/>
      <c r="L30" s="604"/>
      <c r="M30" s="604"/>
      <c r="N30" s="604"/>
      <c r="O30" s="604"/>
      <c r="P30" s="604"/>
      <c r="Q30" s="604"/>
      <c r="R30" s="604"/>
      <c r="S30" s="604"/>
      <c r="T30" s="604"/>
      <c r="U30" s="604"/>
      <c r="V30" s="604"/>
      <c r="W30" s="604"/>
      <c r="X30" s="22"/>
      <c r="Y30" s="22"/>
    </row>
    <row r="31" spans="3:29" ht="15.75" customHeight="1">
      <c r="C31" s="151"/>
      <c r="D31" s="603" t="s">
        <v>11</v>
      </c>
      <c r="E31" s="603"/>
      <c r="F31" s="603"/>
      <c r="G31" s="603"/>
      <c r="H31" s="603" t="s">
        <v>12</v>
      </c>
      <c r="I31" s="603"/>
      <c r="J31" s="603"/>
      <c r="K31" s="603"/>
      <c r="L31" s="603" t="s">
        <v>13</v>
      </c>
      <c r="M31" s="603"/>
      <c r="N31" s="603"/>
      <c r="O31" s="603"/>
      <c r="P31" s="603" t="s">
        <v>14</v>
      </c>
      <c r="Q31" s="603"/>
      <c r="R31" s="603"/>
      <c r="S31" s="603"/>
      <c r="T31" s="603" t="s">
        <v>15</v>
      </c>
      <c r="U31" s="603"/>
      <c r="V31" s="603"/>
      <c r="W31" s="603"/>
    </row>
    <row r="32" spans="3:29" ht="30">
      <c r="C32" s="151" t="s">
        <v>57</v>
      </c>
      <c r="D32" s="447" t="s">
        <v>59</v>
      </c>
      <c r="E32" s="447" t="s">
        <v>60</v>
      </c>
      <c r="F32" s="447" t="s">
        <v>58</v>
      </c>
      <c r="G32" s="447" t="s">
        <v>61</v>
      </c>
      <c r="H32" s="447" t="s">
        <v>59</v>
      </c>
      <c r="I32" s="447" t="s">
        <v>60</v>
      </c>
      <c r="J32" s="447" t="s">
        <v>58</v>
      </c>
      <c r="K32" s="447" t="s">
        <v>61</v>
      </c>
      <c r="L32" s="447" t="s">
        <v>59</v>
      </c>
      <c r="M32" s="447" t="s">
        <v>60</v>
      </c>
      <c r="N32" s="447" t="s">
        <v>58</v>
      </c>
      <c r="O32" s="447" t="s">
        <v>61</v>
      </c>
      <c r="P32" s="447" t="s">
        <v>59</v>
      </c>
      <c r="Q32" s="447" t="s">
        <v>60</v>
      </c>
      <c r="R32" s="447" t="s">
        <v>58</v>
      </c>
      <c r="S32" s="447" t="s">
        <v>61</v>
      </c>
      <c r="T32" s="447" t="s">
        <v>59</v>
      </c>
      <c r="U32" s="447" t="s">
        <v>60</v>
      </c>
      <c r="V32" s="447" t="s">
        <v>58</v>
      </c>
      <c r="W32" s="447" t="s">
        <v>61</v>
      </c>
    </row>
    <row r="33" spans="3:23" ht="15.75" customHeight="1">
      <c r="C33" s="209" t="s">
        <v>23</v>
      </c>
      <c r="D33" s="291">
        <f>G20*$N$76</f>
        <v>18491088.262868796</v>
      </c>
      <c r="E33" s="448">
        <f>D33/D$39</f>
        <v>7.6931444288753204E-2</v>
      </c>
      <c r="F33" s="291">
        <f>D33*$M$9</f>
        <v>554732.6478860639</v>
      </c>
      <c r="G33" s="449">
        <f>F33/F$39</f>
        <v>0.10057441325804146</v>
      </c>
      <c r="H33" s="291">
        <f t="shared" ref="H33:H38" si="10">K20*$O$76</f>
        <v>21568005.349810164</v>
      </c>
      <c r="I33" s="448">
        <f>H33/H$39</f>
        <v>8.1978647228449372E-2</v>
      </c>
      <c r="J33" s="291">
        <f>H33*$M$9</f>
        <v>647040.16049430496</v>
      </c>
      <c r="K33" s="449">
        <f>J33/J$39</f>
        <v>0.10420905141751217</v>
      </c>
      <c r="L33" s="291">
        <f t="shared" ref="L33:L38" si="11">O20*$P$76</f>
        <v>24436550.061334919</v>
      </c>
      <c r="M33" s="448">
        <f>L33/L$39</f>
        <v>9.0033336683338391E-2</v>
      </c>
      <c r="N33" s="291">
        <f>L33*$M$9</f>
        <v>733096.50184004754</v>
      </c>
      <c r="O33" s="449">
        <f>N33/N$39</f>
        <v>0.10961068525258701</v>
      </c>
      <c r="P33" s="291">
        <f t="shared" ref="P33:P38" si="12">S20*$Q$76</f>
        <v>26655388.806904133</v>
      </c>
      <c r="Q33" s="448">
        <f>P33/P$39</f>
        <v>9.7259381146517901E-2</v>
      </c>
      <c r="R33" s="291">
        <f>P33*$M$9</f>
        <v>799661.66420712392</v>
      </c>
      <c r="S33" s="449">
        <f>R33/R$39</f>
        <v>0.1140822427863616</v>
      </c>
      <c r="T33" s="291">
        <f t="shared" ref="T33:T38" si="13">W20*$R$76</f>
        <v>28592569.188445892</v>
      </c>
      <c r="U33" s="448">
        <f>T33/T$39</f>
        <v>0.10600386559338372</v>
      </c>
      <c r="V33" s="291">
        <f>T33*$M$9</f>
        <v>857777.07565337676</v>
      </c>
      <c r="W33" s="449">
        <f>V33/V$39</f>
        <v>0.11921002264585397</v>
      </c>
    </row>
    <row r="34" spans="3:23" ht="15.75" customHeight="1">
      <c r="C34" s="211" t="s">
        <v>24</v>
      </c>
      <c r="D34" s="291">
        <f t="shared" ref="D34:D38" si="14">G21*$N$76</f>
        <v>5487382.1807059031</v>
      </c>
      <c r="E34" s="448">
        <f t="shared" ref="E34:E38" si="15">D34/D$39</f>
        <v>2.283003739556963E-2</v>
      </c>
      <c r="F34" s="291">
        <f>D34*$N$9</f>
        <v>1865709.9414400072</v>
      </c>
      <c r="G34" s="449">
        <f t="shared" ref="G34:G38" si="16">F34/F$39</f>
        <v>0.33825786779465594</v>
      </c>
      <c r="H34" s="291">
        <f t="shared" si="10"/>
        <v>6400482.5755753666</v>
      </c>
      <c r="I34" s="448">
        <f t="shared" ref="I34:I38" si="17">H34/H$39</f>
        <v>2.4327836285498155E-2</v>
      </c>
      <c r="J34" s="291">
        <f>H34*$N$9</f>
        <v>2176164.0756956246</v>
      </c>
      <c r="K34" s="449">
        <f t="shared" ref="K34:K38" si="18">J34/J$39</f>
        <v>0.35048209972602501</v>
      </c>
      <c r="L34" s="291">
        <f t="shared" si="11"/>
        <v>7251746.7581268921</v>
      </c>
      <c r="M34" s="448">
        <f t="shared" ref="M34:M38" si="19">L34/L$39</f>
        <v>2.6718131478379384E-2</v>
      </c>
      <c r="N34" s="291">
        <f>L34*$N$9</f>
        <v>2465593.8977631433</v>
      </c>
      <c r="O34" s="449">
        <f t="shared" ref="O34:O38" si="20">N34/N$39</f>
        <v>0.36864919694758197</v>
      </c>
      <c r="P34" s="291">
        <f t="shared" si="12"/>
        <v>7910205.3637648141</v>
      </c>
      <c r="Q34" s="448">
        <f t="shared" ref="Q34:Q38" si="21">P34/P$39</f>
        <v>2.8862519470072845E-2</v>
      </c>
      <c r="R34" s="291">
        <f>P34*$N$9</f>
        <v>2689469.8236800372</v>
      </c>
      <c r="S34" s="449">
        <f t="shared" ref="S34:S38" si="22">R34/R$39</f>
        <v>0.38368820605634052</v>
      </c>
      <c r="T34" s="291">
        <f t="shared" si="13"/>
        <v>8485079.5385764223</v>
      </c>
      <c r="U34" s="448">
        <f t="shared" ref="U34:U38" si="23">T34/T$39</f>
        <v>3.1457516987311827E-2</v>
      </c>
      <c r="V34" s="291">
        <f>T34*$N$9</f>
        <v>2884927.0431159837</v>
      </c>
      <c r="W34" s="449">
        <f t="shared" ref="W34:W38" si="24">V34/V$39</f>
        <v>0.40093426124676018</v>
      </c>
    </row>
    <row r="35" spans="3:23" ht="15.75" customHeight="1">
      <c r="C35" s="234" t="s">
        <v>62</v>
      </c>
      <c r="D35" s="291">
        <f t="shared" si="14"/>
        <v>199775567.98564446</v>
      </c>
      <c r="E35" s="448">
        <f t="shared" si="15"/>
        <v>0.83115838074298454</v>
      </c>
      <c r="F35" s="291">
        <f>D35*$O$9</f>
        <v>2597082.3838133779</v>
      </c>
      <c r="G35" s="449">
        <f t="shared" si="16"/>
        <v>0.4708575165535846</v>
      </c>
      <c r="H35" s="291">
        <f t="shared" si="10"/>
        <v>215757613.42449602</v>
      </c>
      <c r="I35" s="448">
        <f t="shared" si="17"/>
        <v>0.82008127274201525</v>
      </c>
      <c r="J35" s="291">
        <f>H35*$O$9</f>
        <v>2804848.9745184481</v>
      </c>
      <c r="K35" s="449">
        <f t="shared" si="18"/>
        <v>0.45173494452130208</v>
      </c>
      <c r="L35" s="291">
        <f t="shared" si="11"/>
        <v>217785734.9906863</v>
      </c>
      <c r="M35" s="448">
        <f t="shared" si="19"/>
        <v>0.80240362710895796</v>
      </c>
      <c r="N35" s="291">
        <f>L35*$O$9</f>
        <v>2831214.5548789217</v>
      </c>
      <c r="O35" s="449">
        <f t="shared" si="20"/>
        <v>0.42331584815703716</v>
      </c>
      <c r="P35" s="291">
        <f t="shared" si="12"/>
        <v>215564320.4937813</v>
      </c>
      <c r="Q35" s="448">
        <f t="shared" si="21"/>
        <v>0.78654461056161395</v>
      </c>
      <c r="R35" s="291">
        <f>P35*$O$9</f>
        <v>2802336.1664191568</v>
      </c>
      <c r="S35" s="449">
        <f t="shared" si="22"/>
        <v>0.39979007274709866</v>
      </c>
      <c r="T35" s="291">
        <f t="shared" si="13"/>
        <v>207459102.0432151</v>
      </c>
      <c r="U35" s="448">
        <f t="shared" si="23"/>
        <v>0.7691322393651735</v>
      </c>
      <c r="V35" s="291">
        <f>T35*$O$9</f>
        <v>2696968.326561796</v>
      </c>
      <c r="W35" s="449">
        <f t="shared" si="24"/>
        <v>0.37481259922887161</v>
      </c>
    </row>
    <row r="36" spans="3:23" ht="15.75" customHeight="1">
      <c r="C36" s="416" t="s">
        <v>27</v>
      </c>
      <c r="D36" s="291">
        <f t="shared" si="14"/>
        <v>16603963.865195755</v>
      </c>
      <c r="E36" s="448">
        <f t="shared" si="15"/>
        <v>6.9080137572692643E-2</v>
      </c>
      <c r="F36" s="291">
        <f>D36*$P$9</f>
        <v>498118.91595587262</v>
      </c>
      <c r="G36" s="449">
        <f t="shared" si="16"/>
        <v>9.031020239371805E-2</v>
      </c>
      <c r="H36" s="291">
        <f t="shared" si="10"/>
        <v>19366863.452364329</v>
      </c>
      <c r="I36" s="448">
        <f t="shared" si="17"/>
        <v>7.3612243744037215E-2</v>
      </c>
      <c r="J36" s="291">
        <f>H36*$P$9</f>
        <v>581005.90357092989</v>
      </c>
      <c r="K36" s="449">
        <f t="shared" si="18"/>
        <v>9.357390433516076E-2</v>
      </c>
      <c r="L36" s="291">
        <f t="shared" si="11"/>
        <v>21942656.291528787</v>
      </c>
      <c r="M36" s="448">
        <f t="shared" si="19"/>
        <v>8.0844904729324263E-2</v>
      </c>
      <c r="N36" s="291">
        <f>L36*$P$9</f>
        <v>658279.68874586362</v>
      </c>
      <c r="O36" s="449">
        <f t="shared" si="20"/>
        <v>9.8424269642793896E-2</v>
      </c>
      <c r="P36" s="291">
        <f t="shared" si="12"/>
        <v>23935049.482799605</v>
      </c>
      <c r="Q36" s="448">
        <f t="shared" si="21"/>
        <v>8.7333488821795424E-2</v>
      </c>
      <c r="R36" s="291">
        <f>P36*$P$9</f>
        <v>718051.48448398814</v>
      </c>
      <c r="S36" s="449">
        <f t="shared" si="22"/>
        <v>0.10243947841019928</v>
      </c>
      <c r="T36" s="291">
        <f t="shared" si="13"/>
        <v>25194631.461831935</v>
      </c>
      <c r="U36" s="448">
        <f t="shared" si="23"/>
        <v>9.3406378054130809E-2</v>
      </c>
      <c r="V36" s="291">
        <f>T36*$P$9</f>
        <v>755838.94385495805</v>
      </c>
      <c r="W36" s="449">
        <f t="shared" si="24"/>
        <v>0.10504311687851434</v>
      </c>
    </row>
    <row r="37" spans="3:23" ht="15.75" customHeight="1">
      <c r="C37" s="243"/>
      <c r="D37" s="291">
        <f t="shared" si="14"/>
        <v>0</v>
      </c>
      <c r="E37" s="448">
        <f t="shared" si="15"/>
        <v>0</v>
      </c>
      <c r="F37" s="291">
        <f>D37*$Q$9</f>
        <v>0</v>
      </c>
      <c r="G37" s="449">
        <f t="shared" si="16"/>
        <v>0</v>
      </c>
      <c r="H37" s="291">
        <f t="shared" si="10"/>
        <v>0</v>
      </c>
      <c r="I37" s="448">
        <f t="shared" si="17"/>
        <v>0</v>
      </c>
      <c r="J37" s="291">
        <f>H37*$Q$9</f>
        <v>0</v>
      </c>
      <c r="K37" s="449">
        <f t="shared" si="18"/>
        <v>0</v>
      </c>
      <c r="L37" s="291">
        <f t="shared" si="11"/>
        <v>0</v>
      </c>
      <c r="M37" s="448">
        <f t="shared" si="19"/>
        <v>0</v>
      </c>
      <c r="N37" s="291">
        <f>L37*$Q$9</f>
        <v>0</v>
      </c>
      <c r="O37" s="449">
        <f t="shared" si="20"/>
        <v>0</v>
      </c>
      <c r="P37" s="291">
        <f t="shared" si="12"/>
        <v>0</v>
      </c>
      <c r="Q37" s="448">
        <f t="shared" si="21"/>
        <v>0</v>
      </c>
      <c r="R37" s="291">
        <f>P37*$Q$9</f>
        <v>0</v>
      </c>
      <c r="S37" s="449">
        <f t="shared" si="22"/>
        <v>0</v>
      </c>
      <c r="T37" s="291">
        <f t="shared" si="13"/>
        <v>0</v>
      </c>
      <c r="U37" s="448">
        <f t="shared" si="23"/>
        <v>0</v>
      </c>
      <c r="V37" s="291">
        <f>T37*$Q$9</f>
        <v>0</v>
      </c>
      <c r="W37" s="449">
        <f t="shared" si="24"/>
        <v>0</v>
      </c>
    </row>
    <row r="38" spans="3:23" ht="15.75" customHeight="1">
      <c r="C38" s="243"/>
      <c r="D38" s="291">
        <f t="shared" si="14"/>
        <v>0</v>
      </c>
      <c r="E38" s="448">
        <f t="shared" si="15"/>
        <v>0</v>
      </c>
      <c r="F38" s="291">
        <f>D38*$R$9</f>
        <v>0</v>
      </c>
      <c r="G38" s="449">
        <f t="shared" si="16"/>
        <v>0</v>
      </c>
      <c r="H38" s="291">
        <f t="shared" si="10"/>
        <v>0</v>
      </c>
      <c r="I38" s="448">
        <f t="shared" si="17"/>
        <v>0</v>
      </c>
      <c r="J38" s="291">
        <f>H38*$R$9</f>
        <v>0</v>
      </c>
      <c r="K38" s="449">
        <f t="shared" si="18"/>
        <v>0</v>
      </c>
      <c r="L38" s="291">
        <f t="shared" si="11"/>
        <v>0</v>
      </c>
      <c r="M38" s="448">
        <f t="shared" si="19"/>
        <v>0</v>
      </c>
      <c r="N38" s="291">
        <f>L38*$R$9</f>
        <v>0</v>
      </c>
      <c r="O38" s="449">
        <f t="shared" si="20"/>
        <v>0</v>
      </c>
      <c r="P38" s="291">
        <f t="shared" si="12"/>
        <v>0</v>
      </c>
      <c r="Q38" s="448">
        <f t="shared" si="21"/>
        <v>0</v>
      </c>
      <c r="R38" s="291">
        <f>P38*$R$9</f>
        <v>0</v>
      </c>
      <c r="S38" s="449">
        <f t="shared" si="22"/>
        <v>0</v>
      </c>
      <c r="T38" s="291">
        <f t="shared" si="13"/>
        <v>0</v>
      </c>
      <c r="U38" s="448">
        <f t="shared" si="23"/>
        <v>0</v>
      </c>
      <c r="V38" s="291">
        <f>T38*$R$9</f>
        <v>0</v>
      </c>
      <c r="W38" s="449">
        <f t="shared" si="24"/>
        <v>0</v>
      </c>
    </row>
    <row r="39" spans="3:23" ht="15.75" customHeight="1">
      <c r="C39" s="317"/>
      <c r="D39" s="213">
        <f>SUM(D33:D38)</f>
        <v>240358002.29441491</v>
      </c>
      <c r="E39" s="317"/>
      <c r="F39" s="213">
        <f>SUM(F33:F38)</f>
        <v>5515643.8890953213</v>
      </c>
      <c r="G39" s="213"/>
      <c r="H39" s="213">
        <f>SUM(H33:H38)</f>
        <v>263092964.80224589</v>
      </c>
      <c r="I39" s="317"/>
      <c r="J39" s="213">
        <f>SUM(J33:J38)</f>
        <v>6209059.1142793074</v>
      </c>
      <c r="K39" s="213"/>
      <c r="L39" s="213">
        <f>SUM(L33:L38)</f>
        <v>271416688.10167688</v>
      </c>
      <c r="M39" s="317"/>
      <c r="N39" s="213">
        <f>SUM(N33:N38)</f>
        <v>6688184.6432279758</v>
      </c>
      <c r="O39" s="213"/>
      <c r="P39" s="213">
        <f>SUM(P33:P38)</f>
        <v>274064964.14724982</v>
      </c>
      <c r="Q39" s="317"/>
      <c r="R39" s="213">
        <f>SUM(R33:R38)</f>
        <v>7009519.1387903057</v>
      </c>
      <c r="S39" s="213"/>
      <c r="T39" s="213">
        <f>SUM(T33:T38)</f>
        <v>269731382.23206937</v>
      </c>
      <c r="U39" s="317"/>
      <c r="V39" s="213">
        <f>SUM(V33:V38)</f>
        <v>7195511.3891861141</v>
      </c>
      <c r="W39" s="213"/>
    </row>
    <row r="40" spans="3:23" ht="15.75" customHeight="1"/>
    <row r="41" spans="3:23" ht="15.75" customHeight="1"/>
    <row r="42" spans="3:23" ht="15.75" customHeight="1">
      <c r="C42" s="624" t="s">
        <v>65</v>
      </c>
      <c r="D42" s="624"/>
      <c r="E42" s="624"/>
      <c r="F42" s="624"/>
      <c r="G42" s="624"/>
      <c r="H42" s="624"/>
      <c r="I42" s="624"/>
      <c r="J42" s="624"/>
      <c r="K42" s="624"/>
      <c r="L42" s="624"/>
      <c r="M42" s="624"/>
      <c r="N42" s="624"/>
      <c r="O42" s="624"/>
      <c r="P42" s="624"/>
      <c r="Q42" s="624"/>
      <c r="R42" s="624"/>
      <c r="S42" s="624"/>
      <c r="T42" s="624"/>
      <c r="U42" s="624"/>
      <c r="V42" s="624"/>
      <c r="W42" s="624"/>
    </row>
    <row r="43" spans="3:23" ht="15.75" customHeight="1">
      <c r="C43" s="604" t="s">
        <v>66</v>
      </c>
      <c r="D43" s="604"/>
      <c r="E43" s="604"/>
      <c r="F43" s="604"/>
      <c r="G43" s="604"/>
      <c r="H43" s="604"/>
      <c r="I43" s="604"/>
      <c r="J43" s="604"/>
      <c r="K43" s="604"/>
      <c r="L43" s="604"/>
      <c r="M43" s="604"/>
      <c r="N43" s="604"/>
      <c r="O43" s="604"/>
      <c r="P43" s="604"/>
      <c r="Q43" s="604"/>
      <c r="R43" s="604"/>
      <c r="S43" s="604"/>
      <c r="T43" s="604"/>
      <c r="U43" s="604"/>
      <c r="V43" s="604"/>
      <c r="W43" s="604"/>
    </row>
    <row r="44" spans="3:23" ht="15.75" customHeight="1">
      <c r="C44" s="151"/>
      <c r="D44" s="603" t="s">
        <v>11</v>
      </c>
      <c r="E44" s="603"/>
      <c r="F44" s="603"/>
      <c r="G44" s="603"/>
      <c r="H44" s="603" t="s">
        <v>12</v>
      </c>
      <c r="I44" s="603"/>
      <c r="J44" s="603"/>
      <c r="K44" s="603"/>
      <c r="L44" s="603" t="s">
        <v>13</v>
      </c>
      <c r="M44" s="603"/>
      <c r="N44" s="603"/>
      <c r="O44" s="603"/>
      <c r="P44" s="603" t="s">
        <v>14</v>
      </c>
      <c r="Q44" s="603"/>
      <c r="R44" s="603"/>
      <c r="S44" s="603"/>
      <c r="T44" s="603" t="s">
        <v>15</v>
      </c>
      <c r="U44" s="603"/>
      <c r="V44" s="603"/>
      <c r="W44" s="603"/>
    </row>
    <row r="45" spans="3:23" ht="30">
      <c r="C45" s="151" t="s">
        <v>57</v>
      </c>
      <c r="D45" s="447" t="s">
        <v>59</v>
      </c>
      <c r="E45" s="447" t="s">
        <v>60</v>
      </c>
      <c r="F45" s="447" t="s">
        <v>58</v>
      </c>
      <c r="G45" s="447" t="s">
        <v>61</v>
      </c>
      <c r="H45" s="447" t="s">
        <v>59</v>
      </c>
      <c r="I45" s="447" t="s">
        <v>60</v>
      </c>
      <c r="J45" s="447" t="s">
        <v>58</v>
      </c>
      <c r="K45" s="447" t="s">
        <v>61</v>
      </c>
      <c r="L45" s="447" t="s">
        <v>59</v>
      </c>
      <c r="M45" s="447" t="s">
        <v>60</v>
      </c>
      <c r="N45" s="447" t="s">
        <v>58</v>
      </c>
      <c r="O45" s="447" t="s">
        <v>61</v>
      </c>
      <c r="P45" s="447" t="s">
        <v>59</v>
      </c>
      <c r="Q45" s="447" t="s">
        <v>60</v>
      </c>
      <c r="R45" s="447" t="s">
        <v>58</v>
      </c>
      <c r="S45" s="447" t="s">
        <v>61</v>
      </c>
      <c r="T45" s="447" t="s">
        <v>59</v>
      </c>
      <c r="U45" s="447" t="s">
        <v>60</v>
      </c>
      <c r="V45" s="447" t="s">
        <v>58</v>
      </c>
      <c r="W45" s="447" t="s">
        <v>61</v>
      </c>
    </row>
    <row r="46" spans="3:23" ht="15.75" customHeight="1">
      <c r="C46" s="209" t="s">
        <v>23</v>
      </c>
      <c r="D46" s="291">
        <f>G20-D33</f>
        <v>6607578.4037978761</v>
      </c>
      <c r="E46" s="448">
        <f>D46/D$52</f>
        <v>7.6931444288753204E-2</v>
      </c>
      <c r="F46" s="291">
        <f t="shared" ref="F46:F51" si="25">I20-F33</f>
        <v>198227.35211393621</v>
      </c>
      <c r="G46" s="449">
        <f>F46/F$52</f>
        <v>0.10057441325804141</v>
      </c>
      <c r="H46" s="291">
        <f t="shared" ref="H46:H51" si="26">K20-H33</f>
        <v>5538554.650189843</v>
      </c>
      <c r="I46" s="448">
        <f>H46/H$52</f>
        <v>8.19786472284494E-2</v>
      </c>
      <c r="J46" s="291">
        <f t="shared" ref="J46:J51" si="27">M20-J33</f>
        <v>166156.6395056952</v>
      </c>
      <c r="K46" s="449">
        <f>J46/J$52</f>
        <v>0.10420905141751211</v>
      </c>
      <c r="L46" s="291">
        <f t="shared" ref="L46:L51" si="28">O20-L33</f>
        <v>5380665.938665092</v>
      </c>
      <c r="M46" s="448">
        <f>L46/L$52</f>
        <v>9.0033336683338405E-2</v>
      </c>
      <c r="N46" s="291">
        <f t="shared" ref="N46:N51" si="29">Q20-N33</f>
        <v>161419.97815995279</v>
      </c>
      <c r="O46" s="449">
        <f>N46/N$52</f>
        <v>0.10961068525258701</v>
      </c>
      <c r="P46" s="291">
        <f t="shared" ref="P46:P51" si="30">S20-P33</f>
        <v>5547204.473095879</v>
      </c>
      <c r="Q46" s="448">
        <f>P46/P$52</f>
        <v>9.7259381146517887E-2</v>
      </c>
      <c r="R46" s="291">
        <f t="shared" ref="R46:R51" si="31">U20-R33</f>
        <v>166416.1341928764</v>
      </c>
      <c r="S46" s="449">
        <f>R46/R$52</f>
        <v>0.11408224278636167</v>
      </c>
      <c r="T46" s="291">
        <f t="shared" ref="T46:T51" si="32">W20-T33</f>
        <v>5864205.6211541258</v>
      </c>
      <c r="U46" s="448">
        <f>T46/T$52</f>
        <v>0.10600386559338375</v>
      </c>
      <c r="V46" s="291">
        <f t="shared" ref="V46:V51" si="33">Y20-V33</f>
        <v>175926.16863462375</v>
      </c>
      <c r="W46" s="449">
        <f>V46/V$52</f>
        <v>0.11921002264585399</v>
      </c>
    </row>
    <row r="47" spans="3:23" ht="15.75" customHeight="1">
      <c r="C47" s="211" t="s">
        <v>24</v>
      </c>
      <c r="D47" s="291">
        <f t="shared" ref="D47:D51" si="34">G21-D34</f>
        <v>1960853.1134117441</v>
      </c>
      <c r="E47" s="448">
        <f t="shared" ref="E47:G51" si="35">D47/D$52</f>
        <v>2.2830037395569637E-2</v>
      </c>
      <c r="F47" s="291">
        <f t="shared" si="25"/>
        <v>666690.05855999328</v>
      </c>
      <c r="G47" s="449">
        <f t="shared" si="35"/>
        <v>0.33825786779465616</v>
      </c>
      <c r="H47" s="291">
        <f t="shared" si="26"/>
        <v>1643611.5420716926</v>
      </c>
      <c r="I47" s="448">
        <f t="shared" ref="I47" si="36">H47/H$52</f>
        <v>2.4327836285498155E-2</v>
      </c>
      <c r="J47" s="291">
        <f t="shared" si="27"/>
        <v>558827.92430437589</v>
      </c>
      <c r="K47" s="449">
        <f t="shared" ref="K47" si="37">J47/J$52</f>
        <v>0.35048209972602512</v>
      </c>
      <c r="L47" s="291">
        <f t="shared" si="28"/>
        <v>1596756.7712848745</v>
      </c>
      <c r="M47" s="448">
        <f t="shared" ref="M47" si="38">L47/L$52</f>
        <v>2.671813147837937E-2</v>
      </c>
      <c r="N47" s="291">
        <f t="shared" si="29"/>
        <v>542897.30223685782</v>
      </c>
      <c r="O47" s="449">
        <f t="shared" ref="O47" si="39">N47/N$52</f>
        <v>0.36864919694758197</v>
      </c>
      <c r="P47" s="291">
        <f t="shared" si="30"/>
        <v>1646178.4479998937</v>
      </c>
      <c r="Q47" s="448">
        <f t="shared" ref="Q47" si="40">P47/P$52</f>
        <v>2.8862519470072838E-2</v>
      </c>
      <c r="R47" s="291">
        <f t="shared" si="31"/>
        <v>559700.67231996357</v>
      </c>
      <c r="S47" s="449">
        <f t="shared" ref="S47" si="41">R47/R$52</f>
        <v>0.3836882060563403</v>
      </c>
      <c r="T47" s="291">
        <f t="shared" si="32"/>
        <v>1740251.1400118154</v>
      </c>
      <c r="U47" s="448">
        <f t="shared" ref="U47" si="42">T47/T$52</f>
        <v>3.1457516987311814E-2</v>
      </c>
      <c r="V47" s="291">
        <f t="shared" si="33"/>
        <v>591685.38760401728</v>
      </c>
      <c r="W47" s="449">
        <f t="shared" ref="W47" si="43">V47/V$52</f>
        <v>0.40093426124676002</v>
      </c>
    </row>
    <row r="48" spans="3:23" ht="15.75" customHeight="1">
      <c r="C48" s="234" t="s">
        <v>62</v>
      </c>
      <c r="D48" s="291">
        <f t="shared" si="34"/>
        <v>71387508.937432468</v>
      </c>
      <c r="E48" s="448">
        <f t="shared" si="35"/>
        <v>0.83115838074298454</v>
      </c>
      <c r="F48" s="291">
        <f t="shared" si="25"/>
        <v>928037.61618662206</v>
      </c>
      <c r="G48" s="449">
        <f t="shared" si="35"/>
        <v>0.47085751655358449</v>
      </c>
      <c r="H48" s="291">
        <f t="shared" si="26"/>
        <v>55405463.498580903</v>
      </c>
      <c r="I48" s="448">
        <f t="shared" ref="I48" si="44">H48/H$52</f>
        <v>0.82008127274201525</v>
      </c>
      <c r="J48" s="291">
        <f t="shared" si="27"/>
        <v>720271.02548155189</v>
      </c>
      <c r="K48" s="449">
        <f t="shared" ref="K48" si="45">J48/J$52</f>
        <v>0.45173494452130208</v>
      </c>
      <c r="L48" s="291">
        <f t="shared" si="28"/>
        <v>47954080.393929094</v>
      </c>
      <c r="M48" s="448">
        <f t="shared" ref="M48" si="46">L48/L$52</f>
        <v>0.80240362710895785</v>
      </c>
      <c r="N48" s="291">
        <f t="shared" si="29"/>
        <v>623403.04512107838</v>
      </c>
      <c r="O48" s="449">
        <f t="shared" ref="O48" si="47">N48/N$52</f>
        <v>0.42331584815703704</v>
      </c>
      <c r="P48" s="291">
        <f t="shared" si="30"/>
        <v>44860698.583141774</v>
      </c>
      <c r="Q48" s="448">
        <f t="shared" ref="Q48" si="48">P48/P$52</f>
        <v>0.78654461056161395</v>
      </c>
      <c r="R48" s="291">
        <f t="shared" si="31"/>
        <v>583189.08158084285</v>
      </c>
      <c r="S48" s="449">
        <f t="shared" ref="S48" si="49">R48/R$52</f>
        <v>0.39979007274709866</v>
      </c>
      <c r="T48" s="291">
        <f t="shared" si="32"/>
        <v>42548916.270631045</v>
      </c>
      <c r="U48" s="448">
        <f t="shared" ref="U48" si="50">T48/T$52</f>
        <v>0.76913223936517372</v>
      </c>
      <c r="V48" s="291">
        <f t="shared" si="33"/>
        <v>553135.91151820356</v>
      </c>
      <c r="W48" s="449">
        <f t="shared" ref="W48" si="51">V48/V$52</f>
        <v>0.37481259922887172</v>
      </c>
    </row>
    <row r="49" spans="3:28" ht="15.75" customHeight="1">
      <c r="C49" s="416" t="s">
        <v>27</v>
      </c>
      <c r="D49" s="291">
        <f t="shared" si="34"/>
        <v>5933236.1348042451</v>
      </c>
      <c r="E49" s="448">
        <f t="shared" si="35"/>
        <v>6.9080137572692643E-2</v>
      </c>
      <c r="F49" s="291">
        <f t="shared" si="25"/>
        <v>177997.08404412738</v>
      </c>
      <c r="G49" s="449">
        <f t="shared" si="35"/>
        <v>9.0310202393718064E-2</v>
      </c>
      <c r="H49" s="291">
        <f t="shared" si="26"/>
        <v>4973312.5476356708</v>
      </c>
      <c r="I49" s="448">
        <f t="shared" ref="I49" si="52">H49/H$52</f>
        <v>7.3612243744037228E-2</v>
      </c>
      <c r="J49" s="291">
        <f t="shared" si="27"/>
        <v>149199.37642907014</v>
      </c>
      <c r="K49" s="449">
        <f t="shared" ref="K49" si="53">J49/J$52</f>
        <v>9.3573904335160746E-2</v>
      </c>
      <c r="L49" s="291">
        <f t="shared" si="28"/>
        <v>4831537.308471214</v>
      </c>
      <c r="M49" s="448">
        <f t="shared" ref="M49" si="54">L49/L$52</f>
        <v>8.0844904729324263E-2</v>
      </c>
      <c r="N49" s="291">
        <f t="shared" si="29"/>
        <v>144946.11925413634</v>
      </c>
      <c r="O49" s="449">
        <f t="shared" ref="O49" si="55">N49/N$52</f>
        <v>9.8424269642793799E-2</v>
      </c>
      <c r="P49" s="291">
        <f t="shared" si="30"/>
        <v>4981079.6052003987</v>
      </c>
      <c r="Q49" s="448">
        <f t="shared" ref="Q49" si="56">P49/P$52</f>
        <v>8.733348882179541E-2</v>
      </c>
      <c r="R49" s="291">
        <f t="shared" si="31"/>
        <v>149432.38815601193</v>
      </c>
      <c r="S49" s="449">
        <f t="shared" ref="S49" si="57">R49/R$52</f>
        <v>0.10243947841019928</v>
      </c>
      <c r="T49" s="291">
        <f t="shared" si="32"/>
        <v>5167304.0805680715</v>
      </c>
      <c r="U49" s="448">
        <f t="shared" ref="U49" si="58">T49/T$52</f>
        <v>9.3406378054130809E-2</v>
      </c>
      <c r="V49" s="291">
        <f t="shared" si="33"/>
        <v>155019.12241704215</v>
      </c>
      <c r="W49" s="449">
        <f t="shared" ref="W49" si="59">V49/V$52</f>
        <v>0.10504311687851434</v>
      </c>
    </row>
    <row r="50" spans="3:28" ht="15.75" customHeight="1">
      <c r="C50" s="243"/>
      <c r="D50" s="291">
        <f t="shared" si="34"/>
        <v>0</v>
      </c>
      <c r="E50" s="448">
        <f t="shared" si="35"/>
        <v>0</v>
      </c>
      <c r="F50" s="291">
        <f t="shared" si="25"/>
        <v>0</v>
      </c>
      <c r="G50" s="449">
        <f t="shared" si="35"/>
        <v>0</v>
      </c>
      <c r="H50" s="291">
        <f t="shared" si="26"/>
        <v>0</v>
      </c>
      <c r="I50" s="448">
        <f t="shared" ref="I50" si="60">H50/H$52</f>
        <v>0</v>
      </c>
      <c r="J50" s="291">
        <f t="shared" si="27"/>
        <v>0</v>
      </c>
      <c r="K50" s="449">
        <f t="shared" ref="K50" si="61">J50/J$52</f>
        <v>0</v>
      </c>
      <c r="L50" s="291">
        <f t="shared" si="28"/>
        <v>0</v>
      </c>
      <c r="M50" s="448">
        <f t="shared" ref="M50" si="62">L50/L$52</f>
        <v>0</v>
      </c>
      <c r="N50" s="291">
        <f t="shared" si="29"/>
        <v>0</v>
      </c>
      <c r="O50" s="449">
        <f t="shared" ref="O50" si="63">N50/N$52</f>
        <v>0</v>
      </c>
      <c r="P50" s="291">
        <f t="shared" si="30"/>
        <v>0</v>
      </c>
      <c r="Q50" s="448">
        <f t="shared" ref="Q50" si="64">P50/P$52</f>
        <v>0</v>
      </c>
      <c r="R50" s="291">
        <f t="shared" si="31"/>
        <v>0</v>
      </c>
      <c r="S50" s="449">
        <f t="shared" ref="S50" si="65">R50/R$52</f>
        <v>0</v>
      </c>
      <c r="T50" s="291">
        <f t="shared" si="32"/>
        <v>0</v>
      </c>
      <c r="U50" s="448">
        <f t="shared" ref="U50" si="66">T50/T$52</f>
        <v>0</v>
      </c>
      <c r="V50" s="291">
        <f t="shared" si="33"/>
        <v>0</v>
      </c>
      <c r="W50" s="449">
        <f t="shared" ref="W50" si="67">V50/V$52</f>
        <v>0</v>
      </c>
    </row>
    <row r="51" spans="3:28" ht="15.75" customHeight="1">
      <c r="C51" s="243"/>
      <c r="D51" s="291">
        <f t="shared" si="34"/>
        <v>0</v>
      </c>
      <c r="E51" s="448">
        <f t="shared" si="35"/>
        <v>0</v>
      </c>
      <c r="F51" s="291">
        <f t="shared" si="25"/>
        <v>0</v>
      </c>
      <c r="G51" s="449">
        <f t="shared" si="35"/>
        <v>0</v>
      </c>
      <c r="H51" s="291">
        <f t="shared" si="26"/>
        <v>0</v>
      </c>
      <c r="I51" s="448">
        <f t="shared" ref="I51" si="68">H51/H$52</f>
        <v>0</v>
      </c>
      <c r="J51" s="291">
        <f t="shared" si="27"/>
        <v>0</v>
      </c>
      <c r="K51" s="449">
        <f t="shared" ref="K51" si="69">J51/J$52</f>
        <v>0</v>
      </c>
      <c r="L51" s="291">
        <f t="shared" si="28"/>
        <v>0</v>
      </c>
      <c r="M51" s="448">
        <f t="shared" ref="M51" si="70">L51/L$52</f>
        <v>0</v>
      </c>
      <c r="N51" s="291">
        <f t="shared" si="29"/>
        <v>0</v>
      </c>
      <c r="O51" s="449">
        <f t="shared" ref="O51" si="71">N51/N$52</f>
        <v>0</v>
      </c>
      <c r="P51" s="291">
        <f t="shared" si="30"/>
        <v>0</v>
      </c>
      <c r="Q51" s="448">
        <f t="shared" ref="Q51" si="72">P51/P$52</f>
        <v>0</v>
      </c>
      <c r="R51" s="291">
        <f t="shared" si="31"/>
        <v>0</v>
      </c>
      <c r="S51" s="449">
        <f t="shared" ref="S51" si="73">R51/R$52</f>
        <v>0</v>
      </c>
      <c r="T51" s="291">
        <f t="shared" si="32"/>
        <v>0</v>
      </c>
      <c r="U51" s="448">
        <f t="shared" ref="U51" si="74">T51/T$52</f>
        <v>0</v>
      </c>
      <c r="V51" s="291">
        <f t="shared" si="33"/>
        <v>0</v>
      </c>
      <c r="W51" s="449">
        <f t="shared" ref="W51" si="75">V51/V$52</f>
        <v>0</v>
      </c>
      <c r="AA51" s="293" t="s">
        <v>67</v>
      </c>
      <c r="AB51" s="15">
        <f>SUM(F39,J39,N39,R39,V39)</f>
        <v>32617918.174579024</v>
      </c>
    </row>
    <row r="52" spans="3:28" ht="15.75" customHeight="1">
      <c r="C52" s="317"/>
      <c r="D52" s="213">
        <f>SUM(D46:D51)</f>
        <v>85889176.589446336</v>
      </c>
      <c r="E52" s="317"/>
      <c r="F52" s="213">
        <f>SUM(F46:F51)</f>
        <v>1970952.1109046787</v>
      </c>
      <c r="G52" s="213"/>
      <c r="H52" s="213">
        <f>SUM(H46:H51)</f>
        <v>67560942.238478109</v>
      </c>
      <c r="I52" s="317"/>
      <c r="J52" s="213">
        <f>SUM(J46:J51)</f>
        <v>1594454.9657206931</v>
      </c>
      <c r="K52" s="213"/>
      <c r="L52" s="213">
        <f>SUM(L46:L51)</f>
        <v>59763040.412350282</v>
      </c>
      <c r="M52" s="317"/>
      <c r="N52" s="213">
        <f>SUM(N46:N51)</f>
        <v>1472666.4447720256</v>
      </c>
      <c r="O52" s="213"/>
      <c r="P52" s="213">
        <f>SUM(P46:P51)</f>
        <v>57035161.109437943</v>
      </c>
      <c r="Q52" s="317"/>
      <c r="R52" s="213">
        <f>SUM(R46:R51)</f>
        <v>1458738.2762496949</v>
      </c>
      <c r="S52" s="213"/>
      <c r="T52" s="213">
        <f>SUM(T46:T51)</f>
        <v>55320677.112365052</v>
      </c>
      <c r="U52" s="317"/>
      <c r="V52" s="213">
        <f>SUM(V46:V51)</f>
        <v>1475766.5901738866</v>
      </c>
      <c r="W52" s="213"/>
      <c r="AA52" s="294" t="s">
        <v>68</v>
      </c>
      <c r="AB52" s="15">
        <f>SUM(F52,J52,N52,R52,V52)</f>
        <v>7972578.3878209777</v>
      </c>
    </row>
    <row r="53" spans="3:28" ht="15.75" customHeight="1">
      <c r="D53" s="290"/>
      <c r="F53" s="290"/>
      <c r="G53" s="290"/>
      <c r="H53" s="295"/>
      <c r="J53" s="290"/>
      <c r="K53" s="290"/>
      <c r="L53" s="290"/>
      <c r="N53" s="290"/>
      <c r="O53" s="290"/>
      <c r="P53" s="290"/>
      <c r="R53" s="290"/>
      <c r="S53" s="290"/>
      <c r="T53" s="290"/>
      <c r="V53" s="290"/>
      <c r="W53" s="290"/>
    </row>
    <row r="54" spans="3:28" ht="15.75" customHeight="1"/>
    <row r="55" spans="3:28" ht="30">
      <c r="C55" s="296"/>
      <c r="D55" s="297" t="s">
        <v>9</v>
      </c>
      <c r="F55" s="623" t="s">
        <v>366</v>
      </c>
      <c r="G55" s="623"/>
      <c r="I55" s="236" t="s">
        <v>69</v>
      </c>
      <c r="J55" s="236"/>
      <c r="O55" s="621" t="s">
        <v>70</v>
      </c>
      <c r="P55" s="621"/>
      <c r="Q55" s="621"/>
      <c r="R55" s="621"/>
      <c r="S55" s="621"/>
    </row>
    <row r="56" spans="3:28" ht="30">
      <c r="C56" s="298">
        <v>1</v>
      </c>
      <c r="D56" s="299" t="s">
        <v>71</v>
      </c>
      <c r="F56" s="151" t="s">
        <v>291</v>
      </c>
      <c r="G56" s="151" t="s">
        <v>72</v>
      </c>
      <c r="I56" s="125" t="s">
        <v>9</v>
      </c>
      <c r="J56" s="125" t="s">
        <v>73</v>
      </c>
      <c r="L56" s="300"/>
      <c r="M56" s="300"/>
      <c r="N56" s="125" t="s">
        <v>9</v>
      </c>
      <c r="O56" s="453" t="s">
        <v>11</v>
      </c>
      <c r="P56" s="453" t="s">
        <v>12</v>
      </c>
      <c r="Q56" s="453" t="s">
        <v>13</v>
      </c>
      <c r="R56" s="453" t="s">
        <v>14</v>
      </c>
      <c r="S56" s="453" t="s">
        <v>15</v>
      </c>
    </row>
    <row r="57" spans="3:28" ht="15.75" customHeight="1">
      <c r="C57" s="298">
        <v>2</v>
      </c>
      <c r="D57" s="299" t="s">
        <v>16</v>
      </c>
      <c r="F57" s="503">
        <v>0.01</v>
      </c>
      <c r="G57" s="301">
        <v>0</v>
      </c>
      <c r="I57" s="125">
        <v>1</v>
      </c>
      <c r="J57" s="454">
        <f>R88</f>
        <v>0.688461234588436</v>
      </c>
      <c r="N57" s="450">
        <v>1</v>
      </c>
      <c r="O57" s="451">
        <f>J57*$L$66</f>
        <v>0.64026894816724556</v>
      </c>
      <c r="P57" s="452">
        <f>O57*(1+$I$76)</f>
        <v>0.6914904640206252</v>
      </c>
      <c r="Q57" s="452">
        <f>P57*(1+$J$76)</f>
        <v>0.71223517794124402</v>
      </c>
      <c r="R57" s="452">
        <f>Q57*(1+$K$76)</f>
        <v>0.71935752972065647</v>
      </c>
      <c r="S57" s="452">
        <f>R57*(1+$L$76)</f>
        <v>0.72115592354495806</v>
      </c>
    </row>
    <row r="58" spans="3:28" ht="15" customHeight="1">
      <c r="C58" s="302">
        <v>3</v>
      </c>
      <c r="D58" s="299" t="s">
        <v>74</v>
      </c>
      <c r="F58" s="503">
        <v>0.02</v>
      </c>
      <c r="G58" s="301">
        <f>G59-0.05</f>
        <v>0.63999999999999979</v>
      </c>
      <c r="I58" s="125">
        <v>2</v>
      </c>
      <c r="J58" s="454">
        <f>R103</f>
        <v>0.79218911782439672</v>
      </c>
      <c r="N58" s="358">
        <v>2</v>
      </c>
      <c r="O58" s="359">
        <f t="shared" ref="O58:O59" si="76">J58*$L$66</f>
        <v>0.73673587957668896</v>
      </c>
      <c r="P58" s="312">
        <f>O58*(1+$I$76)</f>
        <v>0.79567474994282417</v>
      </c>
      <c r="Q58" s="312">
        <f>P58*(1+$J$76)</f>
        <v>0.8195449924411089</v>
      </c>
      <c r="R58" s="312">
        <f>Q58*(1+$K$76)</f>
        <v>0.82774044236552002</v>
      </c>
      <c r="S58" s="312">
        <f>R58*(1+$L$76)</f>
        <v>0.8298097934714338</v>
      </c>
    </row>
    <row r="59" spans="3:28" ht="15" customHeight="1">
      <c r="C59" s="302"/>
      <c r="D59" s="303"/>
      <c r="F59" s="503">
        <v>0.03</v>
      </c>
      <c r="G59" s="301">
        <f>G60-0.05</f>
        <v>0.68999999999999984</v>
      </c>
      <c r="I59" s="125">
        <v>3</v>
      </c>
      <c r="J59" s="454">
        <f>R122</f>
        <v>0.90000000000000024</v>
      </c>
      <c r="N59" s="358">
        <v>3</v>
      </c>
      <c r="O59" s="359">
        <f t="shared" si="76"/>
        <v>0.8370000000000003</v>
      </c>
      <c r="P59" s="312">
        <f>O59*(1+$I$76)</f>
        <v>0.90396000000000043</v>
      </c>
      <c r="Q59" s="312">
        <f>P59*(1+$J$76)</f>
        <v>0.93107880000000043</v>
      </c>
      <c r="R59" s="312">
        <f>Q59*(1+$K$76)</f>
        <v>0.94038958800000039</v>
      </c>
      <c r="S59" s="312">
        <f>R59*(1+$L$76)</f>
        <v>0.94274056197000033</v>
      </c>
    </row>
    <row r="60" spans="3:28" ht="15" customHeight="1">
      <c r="C60" s="302"/>
      <c r="D60" s="303"/>
      <c r="F60" s="503">
        <v>0.04</v>
      </c>
      <c r="G60" s="301">
        <f t="shared" ref="G60" si="77">G61-0.05</f>
        <v>0.73999999999999988</v>
      </c>
      <c r="I60" s="125"/>
      <c r="J60" s="454"/>
      <c r="K60" s="304"/>
      <c r="N60" s="358"/>
      <c r="O60" s="359"/>
      <c r="P60" s="312"/>
      <c r="Q60" s="312"/>
      <c r="R60" s="312"/>
      <c r="S60" s="312"/>
    </row>
    <row r="61" spans="3:28" ht="15" customHeight="1">
      <c r="C61" s="302"/>
      <c r="D61" s="303"/>
      <c r="F61" s="503">
        <v>0.05</v>
      </c>
      <c r="G61" s="301">
        <f>G62-0.05</f>
        <v>0.78999999999999992</v>
      </c>
      <c r="I61" s="125"/>
      <c r="J61" s="454"/>
      <c r="N61" s="358"/>
      <c r="O61" s="359"/>
      <c r="P61" s="312"/>
      <c r="Q61" s="312"/>
      <c r="R61" s="312"/>
      <c r="S61" s="312"/>
    </row>
    <row r="62" spans="3:28" ht="15" customHeight="1">
      <c r="F62" s="503">
        <v>0.06</v>
      </c>
      <c r="G62" s="301">
        <v>0.84</v>
      </c>
      <c r="I62" s="125"/>
      <c r="J62" s="454"/>
      <c r="K62" s="305"/>
      <c r="N62" s="358"/>
      <c r="O62" s="359"/>
      <c r="P62" s="312"/>
      <c r="Q62" s="312"/>
      <c r="R62" s="312"/>
      <c r="S62" s="312"/>
    </row>
    <row r="63" spans="3:28" ht="15" customHeight="1">
      <c r="F63" s="503">
        <v>7.0000000000000007E-2</v>
      </c>
      <c r="G63" s="301">
        <f>G62+0.02</f>
        <v>0.86</v>
      </c>
    </row>
    <row r="64" spans="3:28" ht="15" customHeight="1">
      <c r="F64" s="503">
        <v>0.08</v>
      </c>
      <c r="G64" s="301">
        <f>G63+0.01</f>
        <v>0.87</v>
      </c>
      <c r="I64" s="306"/>
      <c r="J64" s="306"/>
      <c r="K64" s="306"/>
      <c r="L64" s="306"/>
      <c r="M64" s="306"/>
    </row>
    <row r="65" spans="3:29" ht="61.5" customHeight="1">
      <c r="C65" s="307" t="s">
        <v>19</v>
      </c>
      <c r="D65" s="18">
        <v>0</v>
      </c>
      <c r="F65" s="503">
        <v>0.09</v>
      </c>
      <c r="G65" s="301">
        <f t="shared" ref="G65:G69" si="78">G64+0.01</f>
        <v>0.88</v>
      </c>
      <c r="I65" s="306"/>
      <c r="J65" s="610" t="s">
        <v>75</v>
      </c>
      <c r="K65" s="611"/>
      <c r="L65" s="308">
        <f>VLOOKUP(Dashboard!D12,I57:J62,2,FALSE)</f>
        <v>0.79218911782439672</v>
      </c>
      <c r="M65" s="306"/>
      <c r="O65" s="616"/>
      <c r="P65" s="616"/>
      <c r="Q65" s="616"/>
      <c r="R65" s="616"/>
      <c r="AA65" s="55" t="s">
        <v>382</v>
      </c>
      <c r="AB65" s="309">
        <v>420</v>
      </c>
      <c r="AC65" s="310" t="s">
        <v>383</v>
      </c>
    </row>
    <row r="66" spans="3:29" ht="65.25" customHeight="1">
      <c r="C66" s="38" t="s">
        <v>17</v>
      </c>
      <c r="D66" s="18">
        <v>1</v>
      </c>
      <c r="F66" s="503">
        <v>0.1</v>
      </c>
      <c r="G66" s="301">
        <f t="shared" si="78"/>
        <v>0.89</v>
      </c>
      <c r="I66" s="306"/>
      <c r="J66" s="612" t="s">
        <v>76</v>
      </c>
      <c r="K66" s="613"/>
      <c r="L66" s="311">
        <f>VLOOKUP(Dashboard!I12,F57:G124,2,FALSE)</f>
        <v>0.93</v>
      </c>
      <c r="M66" s="306"/>
      <c r="O66" s="616"/>
      <c r="P66" s="616"/>
      <c r="Q66" s="616"/>
      <c r="AA66" s="55" t="s">
        <v>77</v>
      </c>
      <c r="AB66" s="309">
        <v>50</v>
      </c>
      <c r="AC66" s="310" t="s">
        <v>384</v>
      </c>
    </row>
    <row r="67" spans="3:29" ht="43.5" customHeight="1">
      <c r="F67" s="503">
        <v>0.15</v>
      </c>
      <c r="G67" s="301">
        <f>G66+0.01</f>
        <v>0.9</v>
      </c>
      <c r="I67" s="306"/>
      <c r="J67" s="614" t="s">
        <v>78</v>
      </c>
      <c r="K67" s="615"/>
      <c r="L67" s="312">
        <f>L65*L66</f>
        <v>0.73673587957668896</v>
      </c>
      <c r="M67" s="306"/>
      <c r="O67" s="616"/>
      <c r="P67" s="616"/>
      <c r="Q67" s="616"/>
      <c r="AA67" s="55" t="s">
        <v>79</v>
      </c>
      <c r="AB67" s="309">
        <v>250</v>
      </c>
      <c r="AC67" s="313"/>
    </row>
    <row r="68" spans="3:29" ht="21" customHeight="1">
      <c r="F68" s="503">
        <v>0.2</v>
      </c>
      <c r="G68" s="301">
        <f t="shared" si="78"/>
        <v>0.91</v>
      </c>
      <c r="I68" s="306"/>
      <c r="J68" s="306"/>
      <c r="K68" s="306"/>
      <c r="L68" s="306"/>
      <c r="M68" s="306"/>
    </row>
    <row r="69" spans="3:29" ht="15" customHeight="1">
      <c r="F69" s="503">
        <v>0.25</v>
      </c>
      <c r="G69" s="301">
        <f t="shared" si="78"/>
        <v>0.92</v>
      </c>
    </row>
    <row r="70" spans="3:29" ht="15" customHeight="1">
      <c r="F70" s="503">
        <v>0.3</v>
      </c>
      <c r="G70" s="301">
        <f>G69+0.01</f>
        <v>0.93</v>
      </c>
    </row>
    <row r="71" spans="3:29" ht="15" customHeight="1">
      <c r="F71" s="11" t="s">
        <v>80</v>
      </c>
      <c r="N71" s="513"/>
      <c r="O71" s="513"/>
      <c r="P71" s="513"/>
      <c r="Q71" s="513"/>
      <c r="R71" s="513"/>
    </row>
    <row r="72" spans="3:29" ht="15" customHeight="1">
      <c r="F72" s="314" t="s">
        <v>385</v>
      </c>
      <c r="N72" s="513"/>
      <c r="O72" s="513"/>
      <c r="P72" s="513"/>
      <c r="Q72" s="513"/>
      <c r="R72" s="513"/>
    </row>
    <row r="73" spans="3:29" ht="15" customHeight="1">
      <c r="N73" s="513"/>
      <c r="O73" s="513"/>
      <c r="P73" s="513"/>
      <c r="Q73" s="513"/>
      <c r="R73" s="513"/>
    </row>
    <row r="74" spans="3:29" ht="72.75" customHeight="1">
      <c r="F74" s="11" t="s">
        <v>81</v>
      </c>
      <c r="I74" s="608" t="s">
        <v>82</v>
      </c>
      <c r="J74" s="608"/>
      <c r="K74" s="608"/>
      <c r="L74" s="608"/>
      <c r="N74" s="609" t="s">
        <v>83</v>
      </c>
      <c r="O74" s="609"/>
      <c r="P74" s="609"/>
      <c r="Q74" s="609"/>
      <c r="R74" s="609"/>
    </row>
    <row r="75" spans="3:29" ht="23.25" customHeight="1">
      <c r="I75" s="315" t="s">
        <v>12</v>
      </c>
      <c r="J75" s="315" t="s">
        <v>13</v>
      </c>
      <c r="K75" s="315" t="s">
        <v>14</v>
      </c>
      <c r="L75" s="315" t="s">
        <v>15</v>
      </c>
      <c r="N75" s="453" t="s">
        <v>11</v>
      </c>
      <c r="O75" s="453" t="s">
        <v>12</v>
      </c>
      <c r="P75" s="453" t="s">
        <v>13</v>
      </c>
      <c r="Q75" s="453" t="s">
        <v>14</v>
      </c>
      <c r="R75" s="453" t="s">
        <v>15</v>
      </c>
    </row>
    <row r="76" spans="3:29" ht="26.25" customHeight="1">
      <c r="C76" s="316" t="s">
        <v>84</v>
      </c>
      <c r="I76" s="504">
        <v>0.08</v>
      </c>
      <c r="J76" s="504">
        <v>0.03</v>
      </c>
      <c r="K76" s="504">
        <v>0.01</v>
      </c>
      <c r="L76" s="504">
        <v>2.5000000000000001E-3</v>
      </c>
      <c r="N76" s="514">
        <f>L67</f>
        <v>0.73673587957668896</v>
      </c>
      <c r="O76" s="514">
        <f>N76*(1+I76)</f>
        <v>0.79567474994282417</v>
      </c>
      <c r="P76" s="514">
        <f>O76*(1+J76)</f>
        <v>0.8195449924411089</v>
      </c>
      <c r="Q76" s="514">
        <f>P76*(1+K76)</f>
        <v>0.82774044236552002</v>
      </c>
      <c r="R76" s="514">
        <f>Q76*(1+L76)</f>
        <v>0.8298097934714338</v>
      </c>
    </row>
    <row r="77" spans="3:29" ht="15" customHeight="1">
      <c r="C77" s="137">
        <v>0</v>
      </c>
      <c r="N77" s="306"/>
      <c r="O77" s="306"/>
      <c r="P77" s="306"/>
      <c r="Q77" s="306"/>
      <c r="R77" s="306"/>
    </row>
    <row r="78" spans="3:29" ht="15" customHeight="1">
      <c r="C78" s="137">
        <f>C79-0.0025</f>
        <v>1.999999999999998E-2</v>
      </c>
    </row>
    <row r="79" spans="3:29" ht="15" customHeight="1">
      <c r="C79" s="137">
        <f t="shared" ref="C79:C94" si="79">C80-0.0025</f>
        <v>2.2499999999999978E-2</v>
      </c>
      <c r="N79" s="617" t="s">
        <v>0</v>
      </c>
      <c r="O79" s="617"/>
      <c r="P79" s="617"/>
      <c r="Q79" s="617"/>
      <c r="R79" s="617"/>
    </row>
    <row r="80" spans="3:29" ht="15" customHeight="1">
      <c r="C80" s="137">
        <f t="shared" si="79"/>
        <v>2.4999999999999977E-2</v>
      </c>
      <c r="I80" s="317" t="s">
        <v>298</v>
      </c>
      <c r="J80" s="317">
        <f>Questions!C15</f>
        <v>30619</v>
      </c>
      <c r="K80" s="318">
        <f>J80/(SUM($J$80:$J$88))</f>
        <v>4.2440623462308806E-2</v>
      </c>
      <c r="N80" s="617"/>
      <c r="O80" s="617"/>
      <c r="P80" s="617"/>
      <c r="Q80" s="617"/>
      <c r="R80" s="617"/>
    </row>
    <row r="81" spans="3:25" ht="17.25" customHeight="1">
      <c r="C81" s="137">
        <f t="shared" si="79"/>
        <v>2.7499999999999976E-2</v>
      </c>
      <c r="I81" s="317" t="s">
        <v>296</v>
      </c>
      <c r="J81" s="317">
        <f>Questions!C13</f>
        <v>94209</v>
      </c>
      <c r="K81" s="318">
        <f t="shared" ref="K81:K88" si="80">J81/(SUM($J$80:$J$88))</f>
        <v>0.13058194897810674</v>
      </c>
      <c r="L81" s="262"/>
      <c r="N81" s="505" t="s">
        <v>3</v>
      </c>
      <c r="O81" s="505" t="s">
        <v>4</v>
      </c>
      <c r="P81" s="505" t="s">
        <v>85</v>
      </c>
      <c r="Q81" s="505" t="s">
        <v>6</v>
      </c>
      <c r="R81" s="505" t="s">
        <v>86</v>
      </c>
      <c r="T81" s="618" t="s">
        <v>87</v>
      </c>
      <c r="U81" s="619"/>
      <c r="V81" s="620"/>
    </row>
    <row r="82" spans="3:25" ht="42.75">
      <c r="C82" s="137">
        <f t="shared" si="79"/>
        <v>2.9999999999999975E-2</v>
      </c>
      <c r="I82" s="317" t="s">
        <v>299</v>
      </c>
      <c r="J82" s="317">
        <f>Questions!C16</f>
        <v>30399</v>
      </c>
      <c r="K82" s="318">
        <f t="shared" si="80"/>
        <v>4.2135684138303847E-2</v>
      </c>
      <c r="L82" s="262"/>
      <c r="N82" s="409" t="str">
        <f>'Collection Scenario'!B13</f>
        <v>Province / Island A</v>
      </c>
      <c r="O82" s="409" t="str">
        <f>'Collection Scenario'!C13</f>
        <v>Community A</v>
      </c>
      <c r="P82" s="136">
        <f>'Collection Scenario'!D13</f>
        <v>1</v>
      </c>
      <c r="Q82" s="136">
        <f>'Collection Scenario'!E13</f>
        <v>1</v>
      </c>
      <c r="R82" s="506">
        <f t="shared" ref="R82:R86" si="81">IF(Q82&gt;=1, $V$82, $V$83)</f>
        <v>0.9</v>
      </c>
      <c r="T82" s="507" t="s">
        <v>88</v>
      </c>
      <c r="U82" s="508"/>
      <c r="V82" s="509">
        <v>0.9</v>
      </c>
      <c r="Y82" s="319"/>
    </row>
    <row r="83" spans="3:25" ht="15" customHeight="1">
      <c r="C83" s="137">
        <f t="shared" si="79"/>
        <v>3.2499999999999973E-2</v>
      </c>
      <c r="I83" s="317" t="s">
        <v>300</v>
      </c>
      <c r="J83" s="317">
        <f>Questions!C17</f>
        <v>30326</v>
      </c>
      <c r="K83" s="318">
        <f t="shared" si="80"/>
        <v>4.2034499726247655E-2</v>
      </c>
      <c r="L83" s="262"/>
      <c r="N83" s="409" t="str">
        <f>'Collection Scenario'!B14</f>
        <v>Province / Island A</v>
      </c>
      <c r="O83" s="409" t="str">
        <f>'Collection Scenario'!C14</f>
        <v>Community B</v>
      </c>
      <c r="P83" s="136">
        <f>'Collection Scenario'!D14</f>
        <v>1</v>
      </c>
      <c r="Q83" s="136">
        <f>'Collection Scenario'!E14</f>
        <v>1</v>
      </c>
      <c r="R83" s="506">
        <f t="shared" si="81"/>
        <v>0.9</v>
      </c>
      <c r="T83" s="510" t="s">
        <v>89</v>
      </c>
      <c r="U83" s="511"/>
      <c r="V83" s="509">
        <v>0.45</v>
      </c>
    </row>
    <row r="84" spans="3:25" ht="15" customHeight="1">
      <c r="C84" s="137">
        <f t="shared" si="79"/>
        <v>3.4999999999999976E-2</v>
      </c>
      <c r="I84" s="317" t="s">
        <v>302</v>
      </c>
      <c r="J84" s="317">
        <f>Questions!C19</f>
        <v>4091</v>
      </c>
      <c r="K84" s="318">
        <f t="shared" si="80"/>
        <v>5.6704853386559109E-3</v>
      </c>
      <c r="L84" s="262"/>
      <c r="N84" s="409" t="str">
        <f>'Collection Scenario'!B15</f>
        <v>Province / Island B</v>
      </c>
      <c r="O84" s="409" t="str">
        <f>'Collection Scenario'!C15</f>
        <v>Community C</v>
      </c>
      <c r="P84" s="136">
        <f>'Collection Scenario'!D15</f>
        <v>1</v>
      </c>
      <c r="Q84" s="136">
        <f>'Collection Scenario'!E15</f>
        <v>1</v>
      </c>
      <c r="R84" s="506">
        <f t="shared" si="81"/>
        <v>0.9</v>
      </c>
    </row>
    <row r="85" spans="3:25" ht="15" customHeight="1">
      <c r="C85" s="137">
        <f t="shared" si="79"/>
        <v>3.7499999999999978E-2</v>
      </c>
      <c r="I85" s="317" t="s">
        <v>294</v>
      </c>
      <c r="J85" s="317">
        <f>Questions!C11</f>
        <v>284326</v>
      </c>
      <c r="K85" s="318">
        <f t="shared" si="80"/>
        <v>0.39410081016834037</v>
      </c>
      <c r="L85" s="262"/>
      <c r="N85" s="409" t="str">
        <f>'Collection Scenario'!B16</f>
        <v>Province / Island B</v>
      </c>
      <c r="O85" s="409" t="str">
        <f>'Collection Scenario'!C16</f>
        <v>Community D</v>
      </c>
      <c r="P85" s="136">
        <f>'Collection Scenario'!D16</f>
        <v>1</v>
      </c>
      <c r="Q85" s="136">
        <f>'Collection Scenario'!E16</f>
        <v>1</v>
      </c>
      <c r="R85" s="506">
        <f t="shared" si="81"/>
        <v>0.9</v>
      </c>
    </row>
    <row r="86" spans="3:25" ht="15" customHeight="1">
      <c r="C86" s="137">
        <f t="shared" si="79"/>
        <v>3.999999999999998E-2</v>
      </c>
      <c r="I86" s="317" t="s">
        <v>295</v>
      </c>
      <c r="J86" s="317">
        <f>Questions!C12</f>
        <v>173347</v>
      </c>
      <c r="K86" s="318">
        <f t="shared" si="80"/>
        <v>0.24027416817403718</v>
      </c>
      <c r="L86" s="262"/>
      <c r="N86" s="409" t="str">
        <f>'Collection Scenario'!B17</f>
        <v>Province / Island C</v>
      </c>
      <c r="O86" s="409" t="str">
        <f>'Collection Scenario'!C17</f>
        <v>Community E</v>
      </c>
      <c r="P86" s="136">
        <f>'Collection Scenario'!D17</f>
        <v>1</v>
      </c>
      <c r="Q86" s="136">
        <f>'Collection Scenario'!E17</f>
        <v>1</v>
      </c>
      <c r="R86" s="506">
        <f t="shared" si="81"/>
        <v>0.9</v>
      </c>
    </row>
    <row r="87" spans="3:25" ht="15" customHeight="1">
      <c r="C87" s="137">
        <f t="shared" si="79"/>
        <v>4.2499999999999982E-2</v>
      </c>
      <c r="I87" s="317" t="s">
        <v>301</v>
      </c>
      <c r="J87" s="317">
        <f>Questions!C18</f>
        <v>52006</v>
      </c>
      <c r="K87" s="318">
        <f t="shared" si="80"/>
        <v>7.2084884019100293E-2</v>
      </c>
      <c r="N87" s="317"/>
      <c r="O87" s="317"/>
      <c r="P87" s="317"/>
      <c r="Q87" s="317"/>
      <c r="R87" s="317"/>
    </row>
    <row r="88" spans="3:25" ht="15" customHeight="1">
      <c r="C88" s="137">
        <f t="shared" si="79"/>
        <v>4.4999999999999984E-2</v>
      </c>
      <c r="I88" s="317" t="s">
        <v>297</v>
      </c>
      <c r="J88" s="317">
        <f>Questions!C14</f>
        <v>22132</v>
      </c>
      <c r="K88" s="318">
        <f t="shared" si="80"/>
        <v>3.0676895994899197E-2</v>
      </c>
      <c r="N88" s="320" t="s">
        <v>90</v>
      </c>
      <c r="O88" s="317"/>
      <c r="P88" s="321">
        <f>K85+K81+K86</f>
        <v>0.76495692732048437</v>
      </c>
      <c r="Q88" s="435" t="s">
        <v>91</v>
      </c>
      <c r="R88" s="322">
        <f>(SUM(R82:R86)/5)*P88</f>
        <v>0.688461234588436</v>
      </c>
    </row>
    <row r="89" spans="3:25" ht="15" customHeight="1">
      <c r="C89" s="137">
        <f t="shared" si="79"/>
        <v>4.7499999999999987E-2</v>
      </c>
    </row>
    <row r="90" spans="3:25" ht="15" customHeight="1">
      <c r="C90" s="137">
        <f t="shared" si="79"/>
        <v>4.9999999999999989E-2</v>
      </c>
    </row>
    <row r="91" spans="3:25" ht="15" customHeight="1">
      <c r="C91" s="137">
        <f t="shared" si="79"/>
        <v>5.2499999999999991E-2</v>
      </c>
      <c r="N91" s="617" t="s">
        <v>1</v>
      </c>
      <c r="O91" s="617"/>
      <c r="P91" s="617"/>
      <c r="Q91" s="617"/>
      <c r="R91" s="617"/>
    </row>
    <row r="92" spans="3:25" ht="15" customHeight="1">
      <c r="C92" s="137">
        <f t="shared" si="79"/>
        <v>5.4999999999999993E-2</v>
      </c>
      <c r="N92" s="617"/>
      <c r="O92" s="617"/>
      <c r="P92" s="617"/>
      <c r="Q92" s="617"/>
      <c r="R92" s="617"/>
    </row>
    <row r="93" spans="3:25" ht="15">
      <c r="C93" s="137">
        <f t="shared" si="79"/>
        <v>5.7499999999999996E-2</v>
      </c>
      <c r="N93" s="505" t="s">
        <v>3</v>
      </c>
      <c r="O93" s="505" t="s">
        <v>4</v>
      </c>
      <c r="P93" s="505" t="s">
        <v>85</v>
      </c>
      <c r="Q93" s="505" t="s">
        <v>6</v>
      </c>
      <c r="R93" s="505" t="s">
        <v>86</v>
      </c>
    </row>
    <row r="94" spans="3:25" ht="15.75" customHeight="1">
      <c r="C94" s="137">
        <f t="shared" si="79"/>
        <v>0.06</v>
      </c>
      <c r="N94" s="409" t="str">
        <f>'Collection Scenario'!H13</f>
        <v>Province / Island A</v>
      </c>
      <c r="O94" s="409" t="str">
        <f>'Collection Scenario'!I13</f>
        <v>Community A</v>
      </c>
      <c r="P94" s="136">
        <f>'Collection Scenario'!J13</f>
        <v>2</v>
      </c>
      <c r="Q94" s="136">
        <f>'Collection Scenario'!K13</f>
        <v>1</v>
      </c>
      <c r="R94" s="506">
        <f t="shared" ref="R94:R101" si="82">IF(Q94&gt;=1, $V$82, $V$83)</f>
        <v>0.9</v>
      </c>
    </row>
    <row r="95" spans="3:25" ht="15.75" customHeight="1">
      <c r="C95" s="137">
        <f>C96-0.0025</f>
        <v>6.25E-2</v>
      </c>
      <c r="N95" s="409" t="str">
        <f>'Collection Scenario'!H14</f>
        <v>Province / Island A</v>
      </c>
      <c r="O95" s="409" t="str">
        <f>'Collection Scenario'!I14</f>
        <v>Community B</v>
      </c>
      <c r="P95" s="136">
        <f>'Collection Scenario'!J14</f>
        <v>1</v>
      </c>
      <c r="Q95" s="136">
        <f>'Collection Scenario'!K14</f>
        <v>1</v>
      </c>
      <c r="R95" s="506">
        <f t="shared" si="82"/>
        <v>0.9</v>
      </c>
    </row>
    <row r="96" spans="3:25" ht="28.5">
      <c r="C96" s="137">
        <f>C97-0.005</f>
        <v>6.5000000000000002E-2</v>
      </c>
      <c r="N96" s="409" t="str">
        <f>'Collection Scenario'!H15</f>
        <v>Province / Island B</v>
      </c>
      <c r="O96" s="409" t="str">
        <f>'Collection Scenario'!I15</f>
        <v>Community C</v>
      </c>
      <c r="P96" s="136">
        <f>'Collection Scenario'!J15</f>
        <v>1</v>
      </c>
      <c r="Q96" s="136">
        <f>'Collection Scenario'!K15</f>
        <v>1</v>
      </c>
      <c r="R96" s="506">
        <f t="shared" si="82"/>
        <v>0.9</v>
      </c>
    </row>
    <row r="97" spans="3:18" ht="28.5">
      <c r="C97" s="137">
        <v>7.0000000000000007E-2</v>
      </c>
      <c r="N97" s="409" t="str">
        <f>'Collection Scenario'!H16</f>
        <v>Province / Island B</v>
      </c>
      <c r="O97" s="409" t="str">
        <f>'Collection Scenario'!I16</f>
        <v>Community D</v>
      </c>
      <c r="P97" s="136">
        <f>'Collection Scenario'!J16</f>
        <v>1</v>
      </c>
      <c r="Q97" s="136">
        <f>'Collection Scenario'!K16</f>
        <v>1</v>
      </c>
      <c r="R97" s="506">
        <f t="shared" si="82"/>
        <v>0.9</v>
      </c>
    </row>
    <row r="98" spans="3:18" ht="28.5">
      <c r="C98" s="137">
        <f>C97+0.005</f>
        <v>7.5000000000000011E-2</v>
      </c>
      <c r="N98" s="409" t="str">
        <f>'Collection Scenario'!H17</f>
        <v>Province / Island C</v>
      </c>
      <c r="O98" s="409" t="str">
        <f>'Collection Scenario'!I17</f>
        <v>Community E</v>
      </c>
      <c r="P98" s="136">
        <f>'Collection Scenario'!J17</f>
        <v>1</v>
      </c>
      <c r="Q98" s="136">
        <f>'Collection Scenario'!K17</f>
        <v>1</v>
      </c>
      <c r="R98" s="506">
        <f t="shared" si="82"/>
        <v>0.9</v>
      </c>
    </row>
    <row r="99" spans="3:18" ht="28.5">
      <c r="C99" s="137">
        <f t="shared" ref="C99:C162" si="83">C98+0.005</f>
        <v>8.0000000000000016E-2</v>
      </c>
      <c r="N99" s="409" t="str">
        <f>'Collection Scenario'!H18</f>
        <v>Province / Island D</v>
      </c>
      <c r="O99" s="409" t="str">
        <f>'Collection Scenario'!I18</f>
        <v>Community F</v>
      </c>
      <c r="P99" s="136">
        <f>'Collection Scenario'!J18</f>
        <v>1</v>
      </c>
      <c r="Q99" s="136">
        <f>'Collection Scenario'!K18</f>
        <v>1</v>
      </c>
      <c r="R99" s="506">
        <f t="shared" si="82"/>
        <v>0.9</v>
      </c>
    </row>
    <row r="100" spans="3:18" ht="28.5">
      <c r="C100" s="137">
        <f t="shared" si="83"/>
        <v>8.500000000000002E-2</v>
      </c>
      <c r="N100" s="409" t="str">
        <f>'Collection Scenario'!H19</f>
        <v>Province / Island E</v>
      </c>
      <c r="O100" s="409" t="str">
        <f>'Collection Scenario'!I19</f>
        <v>Community G</v>
      </c>
      <c r="P100" s="136">
        <f>'Collection Scenario'!J19</f>
        <v>1</v>
      </c>
      <c r="Q100" s="136">
        <f>'Collection Scenario'!K19</f>
        <v>1</v>
      </c>
      <c r="R100" s="506">
        <f t="shared" si="82"/>
        <v>0.9</v>
      </c>
    </row>
    <row r="101" spans="3:18" ht="28.5">
      <c r="C101" s="137">
        <f t="shared" si="83"/>
        <v>9.0000000000000024E-2</v>
      </c>
      <c r="N101" s="409" t="str">
        <f>'Collection Scenario'!H20</f>
        <v>Province / Island F</v>
      </c>
      <c r="O101" s="409" t="str">
        <f>'Collection Scenario'!I20</f>
        <v>Community H</v>
      </c>
      <c r="P101" s="136">
        <f>'Collection Scenario'!J20</f>
        <v>1</v>
      </c>
      <c r="Q101" s="136">
        <f>'Collection Scenario'!K20</f>
        <v>1</v>
      </c>
      <c r="R101" s="506">
        <f t="shared" si="82"/>
        <v>0.9</v>
      </c>
    </row>
    <row r="102" spans="3:18">
      <c r="C102" s="137">
        <f t="shared" si="83"/>
        <v>9.5000000000000029E-2</v>
      </c>
      <c r="N102" s="317"/>
      <c r="O102" s="317"/>
      <c r="P102" s="317"/>
      <c r="Q102" s="317"/>
      <c r="R102" s="317"/>
    </row>
    <row r="103" spans="3:18" ht="15">
      <c r="C103" s="137">
        <f t="shared" si="83"/>
        <v>0.10000000000000003</v>
      </c>
      <c r="N103" s="320" t="s">
        <v>90</v>
      </c>
      <c r="O103" s="317"/>
      <c r="P103" s="321">
        <f>K85+K81+K86+K88+K80+K82</f>
        <v>0.8802101309159962</v>
      </c>
      <c r="Q103" s="435" t="s">
        <v>91</v>
      </c>
      <c r="R103" s="322">
        <f>(SUM(R94:R101)/8)*P103</f>
        <v>0.79218911782439672</v>
      </c>
    </row>
    <row r="104" spans="3:18">
      <c r="C104" s="137">
        <f t="shared" si="83"/>
        <v>0.10500000000000004</v>
      </c>
    </row>
    <row r="105" spans="3:18">
      <c r="C105" s="137">
        <f t="shared" si="83"/>
        <v>0.11000000000000004</v>
      </c>
    </row>
    <row r="106" spans="3:18">
      <c r="C106" s="137">
        <f t="shared" si="83"/>
        <v>0.11500000000000005</v>
      </c>
      <c r="N106" s="617" t="s">
        <v>2</v>
      </c>
      <c r="O106" s="617"/>
      <c r="P106" s="617"/>
      <c r="Q106" s="617"/>
      <c r="R106" s="617"/>
    </row>
    <row r="107" spans="3:18">
      <c r="C107" s="137">
        <f t="shared" si="83"/>
        <v>0.12000000000000005</v>
      </c>
      <c r="N107" s="617"/>
      <c r="O107" s="617"/>
      <c r="P107" s="617"/>
      <c r="Q107" s="617"/>
      <c r="R107" s="617"/>
    </row>
    <row r="108" spans="3:18" ht="15">
      <c r="C108" s="137">
        <f t="shared" si="83"/>
        <v>0.12500000000000006</v>
      </c>
      <c r="N108" s="505" t="s">
        <v>3</v>
      </c>
      <c r="O108" s="505" t="s">
        <v>4</v>
      </c>
      <c r="P108" s="505" t="s">
        <v>85</v>
      </c>
      <c r="Q108" s="505" t="s">
        <v>6</v>
      </c>
      <c r="R108" s="505" t="s">
        <v>86</v>
      </c>
    </row>
    <row r="109" spans="3:18" ht="16.5" customHeight="1">
      <c r="C109" s="137">
        <f t="shared" si="83"/>
        <v>0.13000000000000006</v>
      </c>
      <c r="N109" s="512" t="str">
        <f>'Collection Scenario'!N13</f>
        <v>Province / Island A</v>
      </c>
      <c r="O109" s="512" t="str">
        <f>'Collection Scenario'!O13</f>
        <v>Community A</v>
      </c>
      <c r="P109" s="136">
        <f>'Collection Scenario'!P13</f>
        <v>2</v>
      </c>
      <c r="Q109" s="136">
        <f>'Collection Scenario'!Q13</f>
        <v>1</v>
      </c>
      <c r="R109" s="506">
        <f t="shared" ref="R109:R119" si="84">IF(Q109&gt;=1, $V$82, $V$83)</f>
        <v>0.9</v>
      </c>
    </row>
    <row r="110" spans="3:18" ht="16.5" customHeight="1">
      <c r="C110" s="137">
        <f t="shared" si="83"/>
        <v>0.13500000000000006</v>
      </c>
      <c r="H110" s="18"/>
      <c r="I110" s="323"/>
      <c r="N110" s="512" t="str">
        <f>'Collection Scenario'!N14</f>
        <v>Province / Island A</v>
      </c>
      <c r="O110" s="512" t="str">
        <f>'Collection Scenario'!O14</f>
        <v>Community B</v>
      </c>
      <c r="P110" s="136">
        <f>'Collection Scenario'!P14</f>
        <v>1</v>
      </c>
      <c r="Q110" s="136">
        <f>'Collection Scenario'!Q14</f>
        <v>1</v>
      </c>
      <c r="R110" s="506">
        <f t="shared" si="84"/>
        <v>0.9</v>
      </c>
    </row>
    <row r="111" spans="3:18" ht="28.5">
      <c r="C111" s="137">
        <f t="shared" si="83"/>
        <v>0.14000000000000007</v>
      </c>
      <c r="H111" s="18"/>
      <c r="I111" s="323"/>
      <c r="N111" s="512" t="str">
        <f>'Collection Scenario'!N15</f>
        <v>Province / Island B</v>
      </c>
      <c r="O111" s="512" t="str">
        <f>'Collection Scenario'!O15</f>
        <v>Community C</v>
      </c>
      <c r="P111" s="136">
        <f>'Collection Scenario'!P15</f>
        <v>1</v>
      </c>
      <c r="Q111" s="136">
        <f>'Collection Scenario'!Q15</f>
        <v>1</v>
      </c>
      <c r="R111" s="506">
        <f t="shared" si="84"/>
        <v>0.9</v>
      </c>
    </row>
    <row r="112" spans="3:18" ht="28.5">
      <c r="C112" s="137">
        <f t="shared" si="83"/>
        <v>0.14500000000000007</v>
      </c>
      <c r="H112" s="18"/>
      <c r="I112" s="323"/>
      <c r="N112" s="512" t="str">
        <f>'Collection Scenario'!N16</f>
        <v>Province / Island B</v>
      </c>
      <c r="O112" s="512" t="str">
        <f>'Collection Scenario'!O16</f>
        <v>Community D</v>
      </c>
      <c r="P112" s="136">
        <f>'Collection Scenario'!P16</f>
        <v>1</v>
      </c>
      <c r="Q112" s="136">
        <f>'Collection Scenario'!Q16</f>
        <v>1</v>
      </c>
      <c r="R112" s="506">
        <f t="shared" si="84"/>
        <v>0.9</v>
      </c>
    </row>
    <row r="113" spans="3:18" ht="28.5">
      <c r="C113" s="137">
        <f t="shared" si="83"/>
        <v>0.15000000000000008</v>
      </c>
      <c r="H113" s="18"/>
      <c r="I113" s="323"/>
      <c r="N113" s="512" t="str">
        <f>'Collection Scenario'!N17</f>
        <v>Province / Island C</v>
      </c>
      <c r="O113" s="512" t="str">
        <f>'Collection Scenario'!O17</f>
        <v>Community E</v>
      </c>
      <c r="P113" s="136">
        <f>'Collection Scenario'!P17</f>
        <v>1</v>
      </c>
      <c r="Q113" s="136">
        <f>'Collection Scenario'!Q17</f>
        <v>1</v>
      </c>
      <c r="R113" s="506">
        <f t="shared" si="84"/>
        <v>0.9</v>
      </c>
    </row>
    <row r="114" spans="3:18" ht="28.5">
      <c r="C114" s="137">
        <f t="shared" si="83"/>
        <v>0.15500000000000008</v>
      </c>
      <c r="H114" s="18"/>
      <c r="I114" s="323"/>
      <c r="N114" s="512" t="str">
        <f>'Collection Scenario'!N18</f>
        <v>Province / Island D</v>
      </c>
      <c r="O114" s="512" t="str">
        <f>'Collection Scenario'!O18</f>
        <v>Community F</v>
      </c>
      <c r="P114" s="136">
        <f>'Collection Scenario'!P18</f>
        <v>1</v>
      </c>
      <c r="Q114" s="136">
        <f>'Collection Scenario'!Q18</f>
        <v>1</v>
      </c>
      <c r="R114" s="506">
        <f t="shared" si="84"/>
        <v>0.9</v>
      </c>
    </row>
    <row r="115" spans="3:18" ht="28.5">
      <c r="C115" s="137">
        <f t="shared" si="83"/>
        <v>0.16000000000000009</v>
      </c>
      <c r="H115" s="18"/>
      <c r="I115" s="323"/>
      <c r="N115" s="512" t="str">
        <f>'Collection Scenario'!N19</f>
        <v>Province / Island E</v>
      </c>
      <c r="O115" s="512" t="str">
        <f>'Collection Scenario'!O19</f>
        <v>Community G</v>
      </c>
      <c r="P115" s="136">
        <f>'Collection Scenario'!P19</f>
        <v>1</v>
      </c>
      <c r="Q115" s="136">
        <f>'Collection Scenario'!Q19</f>
        <v>1</v>
      </c>
      <c r="R115" s="506">
        <f t="shared" si="84"/>
        <v>0.9</v>
      </c>
    </row>
    <row r="116" spans="3:18" ht="28.5">
      <c r="C116" s="137">
        <f t="shared" si="83"/>
        <v>0.16500000000000009</v>
      </c>
      <c r="H116" s="18"/>
      <c r="I116" s="323"/>
      <c r="N116" s="512" t="str">
        <f>'Collection Scenario'!N20</f>
        <v>Province / Island F</v>
      </c>
      <c r="O116" s="512" t="str">
        <f>'Collection Scenario'!O20</f>
        <v>Community H</v>
      </c>
      <c r="P116" s="136">
        <f>'Collection Scenario'!P20</f>
        <v>1</v>
      </c>
      <c r="Q116" s="136">
        <f>'Collection Scenario'!Q20</f>
        <v>5</v>
      </c>
      <c r="R116" s="506">
        <f t="shared" si="84"/>
        <v>0.9</v>
      </c>
    </row>
    <row r="117" spans="3:18" ht="28.5">
      <c r="C117" s="137">
        <f t="shared" si="83"/>
        <v>0.1700000000000001</v>
      </c>
      <c r="H117" s="18"/>
      <c r="I117" s="323"/>
      <c r="N117" s="512" t="str">
        <f>'Collection Scenario'!N21</f>
        <v>Province / Island G</v>
      </c>
      <c r="O117" s="512" t="str">
        <f>'Collection Scenario'!O21</f>
        <v>Community I</v>
      </c>
      <c r="P117" s="136">
        <f>'Collection Scenario'!P21</f>
        <v>1</v>
      </c>
      <c r="Q117" s="136">
        <f>'Collection Scenario'!Q21</f>
        <v>5</v>
      </c>
      <c r="R117" s="506">
        <f t="shared" si="84"/>
        <v>0.9</v>
      </c>
    </row>
    <row r="118" spans="3:18" ht="18" customHeight="1">
      <c r="C118" s="137">
        <f t="shared" si="83"/>
        <v>0.1750000000000001</v>
      </c>
      <c r="H118" s="18"/>
      <c r="I118" s="323"/>
      <c r="N118" s="512" t="str">
        <f>'Collection Scenario'!N22</f>
        <v>Province / Island H</v>
      </c>
      <c r="O118" s="512" t="str">
        <f>'Collection Scenario'!O22</f>
        <v>Community J</v>
      </c>
      <c r="P118" s="136">
        <f>'Collection Scenario'!P22</f>
        <v>1</v>
      </c>
      <c r="Q118" s="136">
        <f>'Collection Scenario'!Q22</f>
        <v>5</v>
      </c>
      <c r="R118" s="506">
        <f t="shared" si="84"/>
        <v>0.9</v>
      </c>
    </row>
    <row r="119" spans="3:18" ht="15.75" customHeight="1">
      <c r="C119" s="137">
        <f t="shared" si="83"/>
        <v>0.1800000000000001</v>
      </c>
      <c r="H119" s="18"/>
      <c r="I119" s="323"/>
      <c r="N119" s="512" t="str">
        <f>'Collection Scenario'!N23</f>
        <v>Province / Island I</v>
      </c>
      <c r="O119" s="512" t="str">
        <f>'Collection Scenario'!O23</f>
        <v>Community K</v>
      </c>
      <c r="P119" s="136">
        <f>'Collection Scenario'!P23</f>
        <v>1</v>
      </c>
      <c r="Q119" s="136">
        <f>'Collection Scenario'!Q23</f>
        <v>5</v>
      </c>
      <c r="R119" s="506">
        <f t="shared" si="84"/>
        <v>0.9</v>
      </c>
    </row>
    <row r="120" spans="3:18">
      <c r="C120" s="137">
        <f t="shared" si="83"/>
        <v>0.18500000000000011</v>
      </c>
      <c r="H120" s="18"/>
      <c r="I120" s="323"/>
      <c r="N120" s="317"/>
      <c r="O120" s="317"/>
      <c r="P120" s="317"/>
      <c r="Q120" s="317"/>
      <c r="R120" s="317"/>
    </row>
    <row r="121" spans="3:18">
      <c r="C121" s="137">
        <f t="shared" si="83"/>
        <v>0.19000000000000011</v>
      </c>
      <c r="H121" s="18"/>
      <c r="I121" s="323"/>
      <c r="N121" s="317"/>
      <c r="O121" s="317"/>
      <c r="P121" s="317"/>
      <c r="Q121" s="317"/>
      <c r="R121" s="317"/>
    </row>
    <row r="122" spans="3:18" ht="15">
      <c r="C122" s="137">
        <f t="shared" si="83"/>
        <v>0.19500000000000012</v>
      </c>
      <c r="H122" s="18"/>
      <c r="I122" s="323"/>
      <c r="N122" s="320" t="s">
        <v>90</v>
      </c>
      <c r="O122" s="317"/>
      <c r="P122" s="321">
        <f>SUM(K80:K88)</f>
        <v>1</v>
      </c>
      <c r="Q122" s="435" t="s">
        <v>91</v>
      </c>
      <c r="R122" s="322">
        <f>(SUM(R109:R119)/11)*P122</f>
        <v>0.90000000000000024</v>
      </c>
    </row>
    <row r="123" spans="3:18">
      <c r="C123" s="137">
        <f t="shared" si="83"/>
        <v>0.20000000000000012</v>
      </c>
      <c r="H123" s="18"/>
      <c r="I123" s="323"/>
    </row>
    <row r="124" spans="3:18">
      <c r="C124" s="137">
        <f t="shared" si="83"/>
        <v>0.20500000000000013</v>
      </c>
      <c r="H124" s="18"/>
      <c r="I124" s="323"/>
    </row>
    <row r="125" spans="3:18">
      <c r="C125" s="137">
        <f t="shared" si="83"/>
        <v>0.21000000000000013</v>
      </c>
      <c r="H125" s="18"/>
      <c r="I125" s="323"/>
    </row>
    <row r="126" spans="3:18">
      <c r="C126" s="137">
        <f t="shared" si="83"/>
        <v>0.21500000000000014</v>
      </c>
      <c r="H126" s="18"/>
      <c r="I126" s="323"/>
    </row>
    <row r="127" spans="3:18">
      <c r="C127" s="137">
        <f t="shared" si="83"/>
        <v>0.22000000000000014</v>
      </c>
      <c r="H127" s="18"/>
      <c r="I127" s="323"/>
    </row>
    <row r="128" spans="3:18">
      <c r="C128" s="137">
        <f t="shared" si="83"/>
        <v>0.22500000000000014</v>
      </c>
      <c r="H128" s="18"/>
      <c r="I128" s="323"/>
    </row>
    <row r="129" spans="3:9">
      <c r="C129" s="137">
        <f t="shared" si="83"/>
        <v>0.23000000000000015</v>
      </c>
      <c r="H129" s="18"/>
      <c r="I129" s="323"/>
    </row>
    <row r="130" spans="3:9">
      <c r="C130" s="137">
        <f t="shared" si="83"/>
        <v>0.23500000000000015</v>
      </c>
      <c r="H130" s="18"/>
      <c r="I130" s="323"/>
    </row>
    <row r="131" spans="3:9">
      <c r="C131" s="137">
        <f t="shared" si="83"/>
        <v>0.24000000000000016</v>
      </c>
      <c r="H131" s="18"/>
      <c r="I131" s="323"/>
    </row>
    <row r="132" spans="3:9">
      <c r="C132" s="137">
        <f t="shared" si="83"/>
        <v>0.24500000000000016</v>
      </c>
      <c r="H132" s="18"/>
      <c r="I132" s="323"/>
    </row>
    <row r="133" spans="3:9">
      <c r="C133" s="137">
        <f t="shared" si="83"/>
        <v>0.25000000000000017</v>
      </c>
      <c r="H133" s="18"/>
      <c r="I133" s="323"/>
    </row>
    <row r="134" spans="3:9">
      <c r="C134" s="137">
        <f t="shared" si="83"/>
        <v>0.25500000000000017</v>
      </c>
      <c r="H134" s="18"/>
      <c r="I134" s="323"/>
    </row>
    <row r="135" spans="3:9">
      <c r="C135" s="137">
        <f t="shared" si="83"/>
        <v>0.26000000000000018</v>
      </c>
      <c r="H135" s="18"/>
      <c r="I135" s="323"/>
    </row>
    <row r="136" spans="3:9">
      <c r="C136" s="137">
        <f t="shared" si="83"/>
        <v>0.26500000000000018</v>
      </c>
      <c r="H136" s="18"/>
      <c r="I136" s="323"/>
    </row>
    <row r="137" spans="3:9">
      <c r="C137" s="137">
        <f t="shared" si="83"/>
        <v>0.27000000000000018</v>
      </c>
      <c r="H137" s="18"/>
      <c r="I137" s="323"/>
    </row>
    <row r="138" spans="3:9">
      <c r="C138" s="137">
        <f t="shared" si="83"/>
        <v>0.27500000000000019</v>
      </c>
      <c r="H138" s="18"/>
      <c r="I138" s="323"/>
    </row>
    <row r="139" spans="3:9">
      <c r="C139" s="137">
        <f t="shared" si="83"/>
        <v>0.28000000000000019</v>
      </c>
      <c r="H139" s="18"/>
      <c r="I139" s="323"/>
    </row>
    <row r="140" spans="3:9">
      <c r="C140" s="137">
        <f t="shared" si="83"/>
        <v>0.2850000000000002</v>
      </c>
      <c r="H140" s="18"/>
      <c r="I140" s="323"/>
    </row>
    <row r="141" spans="3:9">
      <c r="C141" s="137">
        <f t="shared" si="83"/>
        <v>0.2900000000000002</v>
      </c>
      <c r="H141" s="18"/>
      <c r="I141" s="323"/>
    </row>
    <row r="142" spans="3:9">
      <c r="C142" s="137">
        <f t="shared" si="83"/>
        <v>0.29500000000000021</v>
      </c>
      <c r="H142" s="18"/>
      <c r="I142" s="323"/>
    </row>
    <row r="143" spans="3:9">
      <c r="C143" s="137">
        <f t="shared" si="83"/>
        <v>0.30000000000000021</v>
      </c>
      <c r="H143" s="18"/>
      <c r="I143" s="323"/>
    </row>
    <row r="144" spans="3:9">
      <c r="C144" s="137">
        <f t="shared" si="83"/>
        <v>0.30500000000000022</v>
      </c>
      <c r="H144" s="18"/>
      <c r="I144" s="323"/>
    </row>
    <row r="145" spans="3:9">
      <c r="C145" s="137">
        <f t="shared" si="83"/>
        <v>0.31000000000000022</v>
      </c>
      <c r="H145" s="18"/>
      <c r="I145" s="323"/>
    </row>
    <row r="146" spans="3:9">
      <c r="C146" s="137">
        <f t="shared" si="83"/>
        <v>0.31500000000000022</v>
      </c>
      <c r="H146" s="18"/>
      <c r="I146" s="323"/>
    </row>
    <row r="147" spans="3:9">
      <c r="C147" s="137">
        <f t="shared" si="83"/>
        <v>0.32000000000000023</v>
      </c>
      <c r="H147" s="18"/>
      <c r="I147" s="323"/>
    </row>
    <row r="148" spans="3:9">
      <c r="C148" s="137">
        <f t="shared" si="83"/>
        <v>0.32500000000000023</v>
      </c>
      <c r="H148" s="18"/>
      <c r="I148" s="323"/>
    </row>
    <row r="149" spans="3:9">
      <c r="C149" s="137">
        <f t="shared" si="83"/>
        <v>0.33000000000000024</v>
      </c>
      <c r="H149" s="18"/>
      <c r="I149" s="323"/>
    </row>
    <row r="150" spans="3:9">
      <c r="C150" s="137">
        <f t="shared" si="83"/>
        <v>0.33500000000000024</v>
      </c>
      <c r="H150" s="18"/>
      <c r="I150" s="323"/>
    </row>
    <row r="151" spans="3:9">
      <c r="C151" s="137">
        <f t="shared" si="83"/>
        <v>0.34000000000000025</v>
      </c>
      <c r="H151" s="18"/>
      <c r="I151" s="323"/>
    </row>
    <row r="152" spans="3:9">
      <c r="C152" s="137">
        <f t="shared" si="83"/>
        <v>0.34500000000000025</v>
      </c>
      <c r="H152" s="18"/>
      <c r="I152" s="323"/>
    </row>
    <row r="153" spans="3:9">
      <c r="C153" s="137">
        <f t="shared" si="83"/>
        <v>0.35000000000000026</v>
      </c>
      <c r="H153" s="18"/>
      <c r="I153" s="323"/>
    </row>
    <row r="154" spans="3:9">
      <c r="C154" s="137">
        <f t="shared" si="83"/>
        <v>0.35500000000000026</v>
      </c>
      <c r="H154" s="18"/>
      <c r="I154" s="323"/>
    </row>
    <row r="155" spans="3:9">
      <c r="C155" s="137">
        <f t="shared" si="83"/>
        <v>0.36000000000000026</v>
      </c>
      <c r="H155" s="18"/>
      <c r="I155" s="323"/>
    </row>
    <row r="156" spans="3:9">
      <c r="C156" s="137">
        <f t="shared" si="83"/>
        <v>0.36500000000000027</v>
      </c>
      <c r="H156" s="18"/>
      <c r="I156" s="323"/>
    </row>
    <row r="157" spans="3:9">
      <c r="C157" s="137">
        <f t="shared" si="83"/>
        <v>0.37000000000000027</v>
      </c>
      <c r="H157" s="18"/>
      <c r="I157" s="323"/>
    </row>
    <row r="158" spans="3:9">
      <c r="C158" s="137">
        <f t="shared" si="83"/>
        <v>0.37500000000000028</v>
      </c>
      <c r="H158" s="18"/>
      <c r="I158" s="323"/>
    </row>
    <row r="159" spans="3:9">
      <c r="C159" s="137">
        <f t="shared" si="83"/>
        <v>0.38000000000000028</v>
      </c>
      <c r="H159" s="18"/>
      <c r="I159" s="323"/>
    </row>
    <row r="160" spans="3:9">
      <c r="C160" s="137">
        <f t="shared" si="83"/>
        <v>0.38500000000000029</v>
      </c>
      <c r="H160" s="18"/>
      <c r="I160" s="18"/>
    </row>
    <row r="161" spans="3:9">
      <c r="C161" s="137">
        <f t="shared" si="83"/>
        <v>0.39000000000000029</v>
      </c>
      <c r="H161" s="18"/>
      <c r="I161" s="18"/>
    </row>
    <row r="162" spans="3:9">
      <c r="C162" s="137">
        <f t="shared" si="83"/>
        <v>0.3950000000000003</v>
      </c>
      <c r="H162" s="18"/>
      <c r="I162" s="18"/>
    </row>
    <row r="163" spans="3:9">
      <c r="C163" s="137">
        <f t="shared" ref="C163:C176" si="85">C162+0.005</f>
        <v>0.4000000000000003</v>
      </c>
      <c r="H163" s="18"/>
      <c r="I163" s="18"/>
    </row>
    <row r="164" spans="3:9">
      <c r="C164" s="137">
        <f t="shared" si="85"/>
        <v>0.4050000000000003</v>
      </c>
      <c r="H164" s="18"/>
      <c r="I164" s="18"/>
    </row>
    <row r="165" spans="3:9">
      <c r="C165" s="137">
        <f t="shared" si="85"/>
        <v>0.41000000000000031</v>
      </c>
      <c r="H165" s="18"/>
      <c r="I165" s="18"/>
    </row>
    <row r="166" spans="3:9">
      <c r="C166" s="137">
        <f t="shared" si="85"/>
        <v>0.41500000000000031</v>
      </c>
      <c r="H166" s="18"/>
      <c r="I166" s="18"/>
    </row>
    <row r="167" spans="3:9">
      <c r="C167" s="137">
        <f t="shared" si="85"/>
        <v>0.42000000000000032</v>
      </c>
      <c r="H167" s="18"/>
      <c r="I167" s="18"/>
    </row>
    <row r="168" spans="3:9">
      <c r="C168" s="137">
        <f t="shared" si="85"/>
        <v>0.42500000000000032</v>
      </c>
      <c r="H168" s="18"/>
      <c r="I168" s="18"/>
    </row>
    <row r="169" spans="3:9">
      <c r="C169" s="137">
        <f t="shared" si="85"/>
        <v>0.43000000000000033</v>
      </c>
      <c r="H169" s="18"/>
      <c r="I169" s="18"/>
    </row>
    <row r="170" spans="3:9">
      <c r="C170" s="137">
        <f t="shared" si="85"/>
        <v>0.43500000000000033</v>
      </c>
      <c r="H170" s="18"/>
      <c r="I170" s="18"/>
    </row>
    <row r="171" spans="3:9">
      <c r="C171" s="137">
        <f t="shared" si="85"/>
        <v>0.44000000000000034</v>
      </c>
      <c r="H171" s="18"/>
      <c r="I171" s="18"/>
    </row>
    <row r="172" spans="3:9">
      <c r="C172" s="137">
        <f t="shared" si="85"/>
        <v>0.44500000000000034</v>
      </c>
      <c r="H172" s="18"/>
      <c r="I172" s="18"/>
    </row>
    <row r="173" spans="3:9">
      <c r="C173" s="137">
        <f t="shared" si="85"/>
        <v>0.45000000000000034</v>
      </c>
      <c r="H173" s="18"/>
      <c r="I173" s="18"/>
    </row>
    <row r="174" spans="3:9">
      <c r="C174" s="137">
        <f t="shared" si="85"/>
        <v>0.45500000000000035</v>
      </c>
      <c r="H174" s="18"/>
      <c r="I174" s="18"/>
    </row>
    <row r="175" spans="3:9">
      <c r="C175" s="137">
        <f t="shared" si="85"/>
        <v>0.46000000000000035</v>
      </c>
      <c r="H175" s="18"/>
      <c r="I175" s="18"/>
    </row>
    <row r="176" spans="3:9">
      <c r="C176" s="137">
        <f t="shared" si="85"/>
        <v>0.46500000000000036</v>
      </c>
      <c r="H176" s="18"/>
      <c r="I176" s="18"/>
    </row>
    <row r="177" spans="8:9">
      <c r="H177" s="18"/>
      <c r="I177" s="18"/>
    </row>
    <row r="178" spans="8:9">
      <c r="H178" s="18"/>
      <c r="I178" s="18"/>
    </row>
    <row r="179" spans="8:9">
      <c r="H179" s="18"/>
      <c r="I179" s="18"/>
    </row>
    <row r="180" spans="8:9">
      <c r="H180" s="18"/>
      <c r="I180" s="18"/>
    </row>
    <row r="181" spans="8:9">
      <c r="H181" s="18"/>
      <c r="I181" s="18"/>
    </row>
    <row r="182" spans="8:9">
      <c r="H182" s="18"/>
      <c r="I182" s="18"/>
    </row>
    <row r="183" spans="8:9">
      <c r="H183" s="18"/>
      <c r="I183" s="18"/>
    </row>
    <row r="184" spans="8:9">
      <c r="H184" s="18"/>
      <c r="I184" s="18"/>
    </row>
    <row r="185" spans="8:9">
      <c r="H185" s="18"/>
      <c r="I185" s="18"/>
    </row>
    <row r="186" spans="8:9">
      <c r="H186" s="18"/>
      <c r="I186" s="18"/>
    </row>
    <row r="187" spans="8:9">
      <c r="H187" s="18"/>
      <c r="I187" s="18"/>
    </row>
    <row r="188" spans="8:9">
      <c r="H188" s="18"/>
      <c r="I188" s="18"/>
    </row>
    <row r="189" spans="8:9">
      <c r="H189" s="18"/>
      <c r="I189" s="18"/>
    </row>
    <row r="190" spans="8:9">
      <c r="H190" s="18"/>
      <c r="I190" s="18"/>
    </row>
    <row r="191" spans="8:9">
      <c r="H191" s="18"/>
      <c r="I191" s="18"/>
    </row>
    <row r="192" spans="8:9">
      <c r="H192" s="18"/>
      <c r="I192" s="18"/>
    </row>
    <row r="193" spans="8:9">
      <c r="H193" s="18"/>
      <c r="I193" s="18"/>
    </row>
    <row r="194" spans="8:9">
      <c r="H194" s="18"/>
      <c r="I194" s="18"/>
    </row>
    <row r="195" spans="8:9">
      <c r="H195" s="18"/>
      <c r="I195" s="18"/>
    </row>
    <row r="196" spans="8:9">
      <c r="H196" s="18"/>
      <c r="I196" s="18"/>
    </row>
    <row r="197" spans="8:9">
      <c r="H197" s="18"/>
      <c r="I197" s="18"/>
    </row>
    <row r="198" spans="8:9">
      <c r="H198" s="18"/>
      <c r="I198" s="18"/>
    </row>
    <row r="199" spans="8:9">
      <c r="H199" s="18"/>
      <c r="I199" s="18"/>
    </row>
    <row r="200" spans="8:9">
      <c r="H200" s="18"/>
      <c r="I200" s="18"/>
    </row>
    <row r="201" spans="8:9">
      <c r="H201" s="18"/>
      <c r="I201" s="18"/>
    </row>
    <row r="202" spans="8:9">
      <c r="H202" s="18"/>
      <c r="I202" s="18"/>
    </row>
    <row r="203" spans="8:9">
      <c r="H203" s="18"/>
      <c r="I203" s="18"/>
    </row>
    <row r="204" spans="8:9">
      <c r="H204" s="18"/>
      <c r="I204" s="18"/>
    </row>
    <row r="205" spans="8:9">
      <c r="H205" s="18"/>
      <c r="I205" s="18"/>
    </row>
    <row r="206" spans="8:9">
      <c r="H206" s="18"/>
      <c r="I206" s="18"/>
    </row>
    <row r="207" spans="8:9">
      <c r="H207" s="18"/>
      <c r="I207" s="18"/>
    </row>
    <row r="208" spans="8:9">
      <c r="H208" s="18"/>
      <c r="I208" s="18"/>
    </row>
    <row r="209" spans="8:9">
      <c r="H209" s="18"/>
      <c r="I209" s="18"/>
    </row>
    <row r="210" spans="8:9">
      <c r="H210" s="18"/>
      <c r="I210" s="18"/>
    </row>
    <row r="211" spans="8:9">
      <c r="H211" s="18"/>
      <c r="I211" s="18"/>
    </row>
    <row r="212" spans="8:9">
      <c r="H212" s="18"/>
      <c r="I212" s="18"/>
    </row>
    <row r="213" spans="8:9">
      <c r="H213" s="18"/>
      <c r="I213" s="18"/>
    </row>
    <row r="214" spans="8:9">
      <c r="H214" s="18"/>
      <c r="I214" s="18"/>
    </row>
    <row r="215" spans="8:9">
      <c r="H215" s="18"/>
      <c r="I215" s="18"/>
    </row>
    <row r="216" spans="8:9">
      <c r="H216" s="18"/>
      <c r="I216" s="18"/>
    </row>
    <row r="217" spans="8:9">
      <c r="H217" s="18"/>
      <c r="I217" s="18"/>
    </row>
    <row r="218" spans="8:9">
      <c r="H218" s="18"/>
      <c r="I218" s="18"/>
    </row>
    <row r="219" spans="8:9">
      <c r="H219" s="18"/>
      <c r="I219" s="18"/>
    </row>
    <row r="220" spans="8:9">
      <c r="H220" s="18"/>
      <c r="I220" s="18"/>
    </row>
    <row r="221" spans="8:9">
      <c r="H221" s="18"/>
      <c r="I221" s="18"/>
    </row>
    <row r="222" spans="8:9">
      <c r="H222" s="18"/>
      <c r="I222" s="18"/>
    </row>
    <row r="223" spans="8:9">
      <c r="H223" s="18"/>
      <c r="I223" s="18"/>
    </row>
    <row r="224" spans="8:9">
      <c r="H224" s="18"/>
      <c r="I224" s="18"/>
    </row>
    <row r="225" spans="8:9">
      <c r="H225" s="18"/>
      <c r="I225" s="18"/>
    </row>
    <row r="226" spans="8:9">
      <c r="H226" s="18"/>
      <c r="I226" s="18"/>
    </row>
    <row r="227" spans="8:9">
      <c r="H227" s="18"/>
      <c r="I227" s="18"/>
    </row>
    <row r="228" spans="8:9">
      <c r="H228" s="18"/>
      <c r="I228" s="18"/>
    </row>
    <row r="229" spans="8:9">
      <c r="H229" s="18"/>
      <c r="I229" s="18"/>
    </row>
    <row r="230" spans="8:9">
      <c r="H230" s="18"/>
      <c r="I230" s="18"/>
    </row>
    <row r="231" spans="8:9">
      <c r="H231" s="18"/>
      <c r="I231" s="18"/>
    </row>
    <row r="232" spans="8:9">
      <c r="H232" s="18"/>
      <c r="I232" s="18"/>
    </row>
    <row r="233" spans="8:9">
      <c r="H233" s="18"/>
      <c r="I233" s="18"/>
    </row>
    <row r="234" spans="8:9">
      <c r="H234" s="18"/>
      <c r="I234" s="18"/>
    </row>
    <row r="235" spans="8:9">
      <c r="H235" s="18"/>
      <c r="I235" s="18"/>
    </row>
    <row r="236" spans="8:9">
      <c r="H236" s="18"/>
      <c r="I236" s="18"/>
    </row>
    <row r="237" spans="8:9">
      <c r="H237" s="18"/>
      <c r="I237" s="18"/>
    </row>
    <row r="238" spans="8:9">
      <c r="H238" s="18"/>
      <c r="I238" s="18"/>
    </row>
    <row r="239" spans="8:9">
      <c r="H239" s="18"/>
      <c r="I239" s="18"/>
    </row>
    <row r="240" spans="8:9">
      <c r="H240" s="18"/>
      <c r="I240" s="18"/>
    </row>
    <row r="241" spans="8:9">
      <c r="H241" s="18"/>
      <c r="I241" s="18"/>
    </row>
    <row r="242" spans="8:9">
      <c r="H242" s="18"/>
      <c r="I242" s="18"/>
    </row>
    <row r="243" spans="8:9">
      <c r="H243" s="18"/>
      <c r="I243" s="18"/>
    </row>
    <row r="244" spans="8:9">
      <c r="H244" s="18"/>
      <c r="I244" s="18"/>
    </row>
    <row r="245" spans="8:9">
      <c r="H245" s="18"/>
      <c r="I245" s="18"/>
    </row>
    <row r="246" spans="8:9">
      <c r="H246" s="18"/>
      <c r="I246" s="18"/>
    </row>
    <row r="247" spans="8:9">
      <c r="H247" s="18"/>
      <c r="I247" s="18"/>
    </row>
    <row r="248" spans="8:9">
      <c r="H248" s="18"/>
      <c r="I248" s="18"/>
    </row>
    <row r="249" spans="8:9">
      <c r="H249" s="18"/>
      <c r="I249" s="18"/>
    </row>
    <row r="250" spans="8:9">
      <c r="H250" s="18"/>
      <c r="I250" s="18"/>
    </row>
    <row r="251" spans="8:9">
      <c r="H251" s="18"/>
      <c r="I251" s="18"/>
    </row>
    <row r="252" spans="8:9">
      <c r="H252" s="18"/>
      <c r="I252" s="18"/>
    </row>
    <row r="253" spans="8:9">
      <c r="H253" s="18"/>
      <c r="I253" s="18"/>
    </row>
    <row r="254" spans="8:9">
      <c r="H254" s="18"/>
      <c r="I254" s="18"/>
    </row>
    <row r="255" spans="8:9">
      <c r="H255" s="18"/>
      <c r="I255" s="18"/>
    </row>
    <row r="256" spans="8:9">
      <c r="H256" s="18"/>
      <c r="I256" s="18"/>
    </row>
    <row r="257" spans="8:9">
      <c r="H257" s="18"/>
      <c r="I257" s="18"/>
    </row>
    <row r="258" spans="8:9">
      <c r="H258" s="18"/>
      <c r="I258" s="18"/>
    </row>
    <row r="259" spans="8:9">
      <c r="H259" s="18"/>
      <c r="I259" s="18"/>
    </row>
    <row r="260" spans="8:9">
      <c r="H260" s="18"/>
      <c r="I260" s="18"/>
    </row>
    <row r="261" spans="8:9">
      <c r="H261" s="18"/>
      <c r="I261" s="18"/>
    </row>
    <row r="262" spans="8:9">
      <c r="H262" s="18"/>
      <c r="I262" s="18"/>
    </row>
    <row r="263" spans="8:9">
      <c r="H263" s="18"/>
      <c r="I263" s="18"/>
    </row>
    <row r="264" spans="8:9">
      <c r="H264" s="18"/>
      <c r="I264" s="18"/>
    </row>
    <row r="265" spans="8:9">
      <c r="H265" s="18"/>
      <c r="I265" s="18"/>
    </row>
    <row r="266" spans="8:9">
      <c r="H266" s="18"/>
      <c r="I266" s="18"/>
    </row>
    <row r="267" spans="8:9">
      <c r="H267" s="18"/>
      <c r="I267" s="18"/>
    </row>
    <row r="268" spans="8:9">
      <c r="H268" s="18"/>
      <c r="I268" s="18"/>
    </row>
    <row r="269" spans="8:9">
      <c r="H269" s="18"/>
      <c r="I269" s="18"/>
    </row>
    <row r="270" spans="8:9">
      <c r="H270" s="18"/>
      <c r="I270" s="18"/>
    </row>
    <row r="271" spans="8:9">
      <c r="H271" s="18"/>
      <c r="I271" s="18"/>
    </row>
    <row r="272" spans="8:9">
      <c r="H272" s="18"/>
      <c r="I272" s="18"/>
    </row>
    <row r="273" spans="8:9">
      <c r="H273" s="18"/>
      <c r="I273" s="18"/>
    </row>
    <row r="274" spans="8:9">
      <c r="H274" s="18"/>
      <c r="I274" s="18"/>
    </row>
    <row r="275" spans="8:9">
      <c r="H275" s="18"/>
      <c r="I275" s="18"/>
    </row>
    <row r="276" spans="8:9">
      <c r="H276" s="18"/>
      <c r="I276" s="18"/>
    </row>
    <row r="277" spans="8:9">
      <c r="H277" s="18"/>
      <c r="I277" s="18"/>
    </row>
    <row r="278" spans="8:9">
      <c r="H278" s="18"/>
      <c r="I278" s="18"/>
    </row>
    <row r="279" spans="8:9">
      <c r="H279" s="18"/>
      <c r="I279" s="18"/>
    </row>
    <row r="280" spans="8:9">
      <c r="H280" s="18"/>
      <c r="I280" s="18"/>
    </row>
    <row r="281" spans="8:9">
      <c r="H281" s="18"/>
      <c r="I281" s="18"/>
    </row>
    <row r="282" spans="8:9">
      <c r="H282" s="18"/>
      <c r="I282" s="18"/>
    </row>
    <row r="283" spans="8:9">
      <c r="H283" s="18"/>
      <c r="I283" s="18"/>
    </row>
    <row r="284" spans="8:9">
      <c r="H284" s="18"/>
      <c r="I284" s="18"/>
    </row>
    <row r="285" spans="8:9">
      <c r="H285" s="18"/>
      <c r="I285" s="18"/>
    </row>
    <row r="286" spans="8:9">
      <c r="H286" s="18"/>
      <c r="I286" s="18"/>
    </row>
    <row r="287" spans="8:9">
      <c r="H287" s="18"/>
      <c r="I287" s="18"/>
    </row>
    <row r="288" spans="8:9">
      <c r="H288" s="18"/>
      <c r="I288" s="18"/>
    </row>
    <row r="289" spans="8:9">
      <c r="H289" s="18"/>
      <c r="I289" s="18"/>
    </row>
    <row r="290" spans="8:9">
      <c r="H290" s="18"/>
      <c r="I290" s="18"/>
    </row>
    <row r="291" spans="8:9">
      <c r="H291" s="18"/>
      <c r="I291" s="18"/>
    </row>
    <row r="292" spans="8:9">
      <c r="H292" s="18"/>
      <c r="I292" s="18"/>
    </row>
    <row r="293" spans="8:9">
      <c r="H293" s="18"/>
      <c r="I293" s="18"/>
    </row>
    <row r="294" spans="8:9">
      <c r="H294" s="18"/>
      <c r="I294" s="18"/>
    </row>
    <row r="295" spans="8:9">
      <c r="H295" s="18"/>
      <c r="I295" s="18"/>
    </row>
    <row r="296" spans="8:9">
      <c r="H296" s="18"/>
      <c r="I296" s="18"/>
    </row>
    <row r="297" spans="8:9">
      <c r="H297" s="18"/>
      <c r="I297" s="18"/>
    </row>
    <row r="298" spans="8:9">
      <c r="H298" s="18"/>
      <c r="I298" s="18"/>
    </row>
    <row r="299" spans="8:9">
      <c r="H299" s="18"/>
      <c r="I299" s="18"/>
    </row>
  </sheetData>
  <mergeCells count="38">
    <mergeCell ref="N79:R80"/>
    <mergeCell ref="N91:R92"/>
    <mergeCell ref="N106:R107"/>
    <mergeCell ref="T81:V81"/>
    <mergeCell ref="O18:R18"/>
    <mergeCell ref="O55:S55"/>
    <mergeCell ref="C29:W29"/>
    <mergeCell ref="C30:W30"/>
    <mergeCell ref="D31:G31"/>
    <mergeCell ref="F55:G55"/>
    <mergeCell ref="H31:K31"/>
    <mergeCell ref="L31:O31"/>
    <mergeCell ref="P31:S31"/>
    <mergeCell ref="T31:W31"/>
    <mergeCell ref="C42:W42"/>
    <mergeCell ref="C43:W43"/>
    <mergeCell ref="I74:L74"/>
    <mergeCell ref="N74:R74"/>
    <mergeCell ref="J65:K65"/>
    <mergeCell ref="J66:K66"/>
    <mergeCell ref="J67:K67"/>
    <mergeCell ref="O65:R65"/>
    <mergeCell ref="O66:Q66"/>
    <mergeCell ref="O67:Q67"/>
    <mergeCell ref="M7:R7"/>
    <mergeCell ref="D18:F18"/>
    <mergeCell ref="C16:Z16"/>
    <mergeCell ref="C17:Z17"/>
    <mergeCell ref="T7:Y7"/>
    <mergeCell ref="G18:J18"/>
    <mergeCell ref="W18:Z18"/>
    <mergeCell ref="K18:N18"/>
    <mergeCell ref="S18:V18"/>
    <mergeCell ref="D44:G44"/>
    <mergeCell ref="H44:K44"/>
    <mergeCell ref="L44:O44"/>
    <mergeCell ref="P44:S44"/>
    <mergeCell ref="T44:W44"/>
  </mergeCells>
  <pageMargins left="0.7" right="0.7" top="0.75" bottom="0.75" header="0.3" footer="0.3"/>
  <pageSetup paperSize="9" scale="14"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F0D1E-BEEF-46E1-B110-E268717F440C}">
  <sheetPr>
    <tabColor rgb="FFFFC000"/>
  </sheetPr>
  <dimension ref="A1:AR169"/>
  <sheetViews>
    <sheetView zoomScale="85" zoomScaleNormal="85" workbookViewId="0">
      <selection activeCell="C15" sqref="C15"/>
    </sheetView>
  </sheetViews>
  <sheetFormatPr defaultColWidth="10.7109375" defaultRowHeight="14.25"/>
  <cols>
    <col min="1" max="1" width="8.42578125" style="1" customWidth="1"/>
    <col min="2" max="2" width="46.42578125" style="1" customWidth="1"/>
    <col min="3" max="3" width="27.140625" style="1" customWidth="1"/>
    <col min="4" max="5" width="26.28515625" style="1" customWidth="1"/>
    <col min="6" max="6" width="25.42578125" style="1" customWidth="1"/>
    <col min="7" max="7" width="34.140625" style="1" customWidth="1"/>
    <col min="8" max="8" width="7.42578125" style="1" customWidth="1"/>
    <col min="9" max="9" width="24.28515625" style="1" customWidth="1"/>
    <col min="10" max="10" width="9.42578125" style="1" customWidth="1"/>
    <col min="11" max="11" width="25.42578125" style="1" customWidth="1"/>
    <col min="12" max="12" width="34.7109375" style="1" customWidth="1"/>
    <col min="13" max="13" width="7" style="1" customWidth="1"/>
    <col min="14" max="14" width="24.7109375" style="64" customWidth="1"/>
    <col min="15" max="15" width="9.28515625" style="1" customWidth="1"/>
    <col min="16" max="16" width="25.42578125" style="1" customWidth="1"/>
    <col min="17" max="17" width="34.42578125" style="1" customWidth="1"/>
    <col min="18" max="18" width="6.85546875" style="1" customWidth="1"/>
    <col min="19" max="19" width="24.85546875" style="62" customWidth="1"/>
    <col min="20" max="20" width="7.7109375" style="1" customWidth="1"/>
    <col min="21" max="21" width="23.28515625" style="1" customWidth="1"/>
    <col min="22" max="22" width="10.7109375" style="1"/>
    <col min="23" max="23" width="19.42578125" style="1" customWidth="1"/>
    <col min="24" max="24" width="16.7109375" style="1" customWidth="1"/>
    <col min="25" max="25" width="36.7109375" style="1" customWidth="1"/>
    <col min="26" max="26" width="7.7109375" style="1" customWidth="1"/>
    <col min="27" max="27" width="21.7109375" style="1" customWidth="1"/>
    <col min="28" max="28" width="10.7109375" style="1"/>
    <col min="29" max="29" width="18.7109375" style="1" customWidth="1"/>
    <col min="30" max="30" width="18.42578125" style="1" customWidth="1"/>
    <col min="31" max="31" width="34.140625" style="1" customWidth="1"/>
    <col min="32" max="32" width="8.42578125" style="1" customWidth="1"/>
    <col min="33" max="33" width="23.140625" style="1" customWidth="1"/>
    <col min="34" max="34" width="10.7109375" style="1"/>
    <col min="35" max="35" width="18.7109375" style="1" customWidth="1"/>
    <col min="36" max="36" width="15.42578125" style="1" customWidth="1"/>
    <col min="37" max="37" width="35" style="1" customWidth="1"/>
    <col min="38" max="38" width="14.7109375" style="1" customWidth="1"/>
    <col min="39" max="39" width="22" style="1" customWidth="1"/>
    <col min="40" max="16384" width="10.7109375" style="1"/>
  </cols>
  <sheetData>
    <row r="1" spans="1:43" s="258" customFormat="1" ht="22.9" customHeight="1">
      <c r="B1" s="259"/>
    </row>
    <row r="2" spans="1:43" s="258" customFormat="1" ht="22.9" customHeight="1">
      <c r="B2" s="259"/>
      <c r="C2" s="331" t="s">
        <v>369</v>
      </c>
      <c r="D2" s="260"/>
    </row>
    <row r="3" spans="1:43" s="258" customFormat="1" ht="22.9" customHeight="1">
      <c r="B3" s="259"/>
      <c r="C3" s="331" t="s">
        <v>381</v>
      </c>
      <c r="D3" s="260"/>
    </row>
    <row r="4" spans="1:43" s="258" customFormat="1" ht="22.9" customHeight="1">
      <c r="B4" s="259"/>
      <c r="C4" s="261"/>
    </row>
    <row r="5" spans="1:43" s="68" customFormat="1" ht="22.9" customHeight="1">
      <c r="B5" s="69"/>
      <c r="C5" s="70"/>
    </row>
    <row r="8" spans="1:43">
      <c r="A8" s="11"/>
      <c r="B8" s="11"/>
      <c r="C8" s="11"/>
      <c r="D8" s="11"/>
      <c r="E8" s="11"/>
      <c r="F8" s="11"/>
      <c r="G8" s="11"/>
      <c r="H8" s="11"/>
      <c r="I8" s="11"/>
      <c r="J8" s="11"/>
      <c r="K8" s="11"/>
      <c r="L8" s="11"/>
      <c r="M8" s="11"/>
      <c r="N8" s="63"/>
      <c r="O8" s="11"/>
      <c r="P8" s="11"/>
      <c r="Q8" s="11"/>
      <c r="R8" s="11"/>
      <c r="S8" s="61"/>
      <c r="T8" s="11"/>
      <c r="U8" s="11"/>
      <c r="V8" s="11"/>
      <c r="W8" s="11"/>
      <c r="X8" s="11"/>
      <c r="Y8" s="11"/>
      <c r="Z8" s="11"/>
      <c r="AA8" s="11"/>
      <c r="AB8" s="11"/>
      <c r="AC8" s="11"/>
      <c r="AD8" s="11"/>
      <c r="AE8" s="11"/>
      <c r="AF8" s="11"/>
      <c r="AG8" s="11"/>
      <c r="AH8" s="11"/>
      <c r="AI8" s="11"/>
      <c r="AJ8" s="11"/>
      <c r="AK8" s="11"/>
      <c r="AL8" s="11"/>
      <c r="AM8" s="11"/>
      <c r="AN8" s="11"/>
      <c r="AO8" s="11"/>
      <c r="AP8" s="11"/>
      <c r="AQ8" s="11"/>
    </row>
    <row r="9" spans="1:43" ht="20.100000000000001" customHeight="1">
      <c r="A9" s="11"/>
      <c r="B9" s="625" t="s">
        <v>92</v>
      </c>
      <c r="C9" s="625"/>
      <c r="D9" s="11"/>
      <c r="E9" s="11"/>
      <c r="F9" s="11"/>
      <c r="G9" s="11"/>
      <c r="H9" s="11"/>
      <c r="I9" s="11"/>
      <c r="J9" s="11"/>
      <c r="K9" s="11"/>
      <c r="L9" s="11"/>
      <c r="M9" s="11"/>
      <c r="N9" s="63"/>
      <c r="O9"/>
      <c r="P9"/>
      <c r="Q9"/>
      <c r="R9"/>
      <c r="S9" s="58"/>
      <c r="T9"/>
      <c r="U9"/>
      <c r="V9"/>
      <c r="W9"/>
      <c r="X9"/>
      <c r="Y9"/>
      <c r="Z9"/>
      <c r="AA9"/>
      <c r="AB9"/>
      <c r="AC9"/>
      <c r="AD9"/>
      <c r="AE9"/>
      <c r="AF9"/>
      <c r="AG9"/>
      <c r="AH9"/>
      <c r="AI9"/>
      <c r="AJ9"/>
      <c r="AK9"/>
      <c r="AL9"/>
      <c r="AM9"/>
      <c r="AN9"/>
      <c r="AO9"/>
      <c r="AP9"/>
      <c r="AQ9" s="11"/>
    </row>
    <row r="10" spans="1:43" ht="20.85" customHeight="1">
      <c r="A10" s="11"/>
      <c r="B10" s="480" t="s">
        <v>93</v>
      </c>
      <c r="C10" s="480" t="s">
        <v>94</v>
      </c>
      <c r="D10" s="11"/>
      <c r="E10" s="11"/>
      <c r="F10" s="630" t="s">
        <v>95</v>
      </c>
      <c r="G10" s="630"/>
      <c r="H10" s="630"/>
      <c r="I10" s="630"/>
      <c r="J10" s="11"/>
      <c r="K10" s="630" t="s">
        <v>96</v>
      </c>
      <c r="L10" s="630"/>
      <c r="M10" s="630"/>
      <c r="N10" s="630"/>
      <c r="O10"/>
      <c r="P10" s="630" t="s">
        <v>97</v>
      </c>
      <c r="Q10" s="630"/>
      <c r="R10" s="630"/>
      <c r="S10" s="630"/>
      <c r="T10"/>
      <c r="U10"/>
      <c r="V10"/>
      <c r="W10"/>
      <c r="X10"/>
      <c r="Y10"/>
      <c r="Z10"/>
      <c r="AA10"/>
      <c r="AB10"/>
      <c r="AC10"/>
      <c r="AD10"/>
      <c r="AE10"/>
      <c r="AF10"/>
      <c r="AG10"/>
      <c r="AH10"/>
      <c r="AI10"/>
      <c r="AJ10"/>
      <c r="AK10"/>
      <c r="AL10"/>
      <c r="AM10"/>
      <c r="AN10"/>
      <c r="AO10"/>
      <c r="AP10"/>
      <c r="AQ10" s="11"/>
    </row>
    <row r="11" spans="1:43" ht="23.25" customHeight="1">
      <c r="A11" s="11"/>
      <c r="B11" s="481" t="s">
        <v>98</v>
      </c>
      <c r="C11" s="475">
        <f>Questions!C31</f>
        <v>23516</v>
      </c>
      <c r="D11" s="11"/>
      <c r="E11" s="11"/>
      <c r="F11" s="460" t="s">
        <v>99</v>
      </c>
      <c r="G11" s="461" t="s">
        <v>100</v>
      </c>
      <c r="H11" s="461" t="s">
        <v>101</v>
      </c>
      <c r="I11" s="461" t="s">
        <v>94</v>
      </c>
      <c r="J11" s="11"/>
      <c r="K11" s="460" t="s">
        <v>99</v>
      </c>
      <c r="L11" s="461" t="s">
        <v>100</v>
      </c>
      <c r="M11" s="461" t="s">
        <v>101</v>
      </c>
      <c r="N11" s="465" t="s">
        <v>94</v>
      </c>
      <c r="O11"/>
      <c r="P11" s="460" t="s">
        <v>99</v>
      </c>
      <c r="Q11" s="461" t="s">
        <v>100</v>
      </c>
      <c r="R11" s="461" t="s">
        <v>101</v>
      </c>
      <c r="S11" s="462" t="s">
        <v>94</v>
      </c>
      <c r="T11"/>
      <c r="U11"/>
      <c r="V11"/>
      <c r="W11"/>
      <c r="X11"/>
      <c r="Y11"/>
      <c r="Z11"/>
      <c r="AA11"/>
      <c r="AB11"/>
      <c r="AC11"/>
      <c r="AD11"/>
      <c r="AE11"/>
      <c r="AF11"/>
      <c r="AG11"/>
      <c r="AH11"/>
      <c r="AI11"/>
      <c r="AJ11"/>
      <c r="AK11"/>
      <c r="AL11"/>
      <c r="AM11"/>
      <c r="AN11"/>
      <c r="AO11"/>
      <c r="AP11"/>
      <c r="AQ11" s="11"/>
    </row>
    <row r="12" spans="1:43" ht="20.25" customHeight="1">
      <c r="A12" s="11"/>
      <c r="B12" s="481" t="s">
        <v>287</v>
      </c>
      <c r="C12" s="475">
        <f>Questions!C32</f>
        <v>5000</v>
      </c>
      <c r="D12" s="11"/>
      <c r="E12" s="11"/>
      <c r="F12" s="632" t="str">
        <f>'Collection Scenario'!C13</f>
        <v>Community A</v>
      </c>
      <c r="G12" s="317" t="s">
        <v>98</v>
      </c>
      <c r="H12" s="125">
        <f>'Collection Scenario'!D13</f>
        <v>1</v>
      </c>
      <c r="I12" s="57">
        <f>$C$11*H12</f>
        <v>23516</v>
      </c>
      <c r="J12" s="11"/>
      <c r="K12" s="632" t="str">
        <f>'Collection Scenario'!I13</f>
        <v>Community A</v>
      </c>
      <c r="L12" s="317" t="s">
        <v>98</v>
      </c>
      <c r="M12" s="125">
        <f>'Collection Scenario'!J13</f>
        <v>2</v>
      </c>
      <c r="N12" s="57">
        <f>$C$11*M12</f>
        <v>47032</v>
      </c>
      <c r="O12"/>
      <c r="P12" s="632" t="str">
        <f>'Collection Scenario'!O13</f>
        <v>Community A</v>
      </c>
      <c r="Q12" s="317" t="s">
        <v>98</v>
      </c>
      <c r="R12" s="125">
        <f>'Collection Scenario'!P13</f>
        <v>2</v>
      </c>
      <c r="S12" s="57">
        <f>$C$11*R12</f>
        <v>47032</v>
      </c>
      <c r="T12"/>
      <c r="U12"/>
      <c r="V12"/>
      <c r="W12"/>
      <c r="X12"/>
      <c r="Y12"/>
      <c r="Z12"/>
      <c r="AA12"/>
      <c r="AB12"/>
      <c r="AC12"/>
      <c r="AD12"/>
      <c r="AE12"/>
      <c r="AF12"/>
      <c r="AG12"/>
      <c r="AH12"/>
      <c r="AI12"/>
      <c r="AJ12"/>
      <c r="AK12"/>
      <c r="AL12"/>
      <c r="AM12"/>
      <c r="AN12"/>
      <c r="AO12"/>
      <c r="AP12"/>
      <c r="AQ12" s="11"/>
    </row>
    <row r="13" spans="1:43" ht="19.5" customHeight="1">
      <c r="A13" s="11"/>
      <c r="B13" s="481" t="s">
        <v>286</v>
      </c>
      <c r="C13" s="475">
        <f>Questions!C33</f>
        <v>5000</v>
      </c>
      <c r="D13" s="11"/>
      <c r="E13" s="11"/>
      <c r="F13" s="632"/>
      <c r="G13" s="317" t="s">
        <v>102</v>
      </c>
      <c r="H13" s="501">
        <v>1</v>
      </c>
      <c r="I13" s="57">
        <f>$C$12*H13</f>
        <v>5000</v>
      </c>
      <c r="J13" s="11"/>
      <c r="K13" s="632"/>
      <c r="L13" s="317" t="s">
        <v>102</v>
      </c>
      <c r="M13" s="501">
        <v>2</v>
      </c>
      <c r="N13" s="57">
        <f>$C$12*M13</f>
        <v>10000</v>
      </c>
      <c r="O13"/>
      <c r="P13" s="632"/>
      <c r="Q13" s="317" t="s">
        <v>102</v>
      </c>
      <c r="R13" s="501">
        <v>2</v>
      </c>
      <c r="S13" s="57">
        <f>$C$12*R13</f>
        <v>10000</v>
      </c>
      <c r="T13"/>
      <c r="U13"/>
      <c r="V13"/>
      <c r="W13"/>
      <c r="X13"/>
      <c r="Y13"/>
      <c r="Z13"/>
      <c r="AA13"/>
      <c r="AB13"/>
      <c r="AC13"/>
      <c r="AD13"/>
      <c r="AE13"/>
      <c r="AF13"/>
      <c r="AG13"/>
      <c r="AH13"/>
      <c r="AI13"/>
      <c r="AJ13"/>
      <c r="AK13"/>
      <c r="AL13"/>
      <c r="AM13"/>
      <c r="AN13"/>
      <c r="AO13"/>
      <c r="AP13"/>
      <c r="AQ13" s="11"/>
    </row>
    <row r="14" spans="1:43" ht="18.75" customHeight="1">
      <c r="A14" s="11"/>
      <c r="B14" s="481" t="s">
        <v>285</v>
      </c>
      <c r="C14" s="475">
        <f>Questions!C34</f>
        <v>400</v>
      </c>
      <c r="D14" s="11"/>
      <c r="E14" s="11"/>
      <c r="F14" s="632"/>
      <c r="G14" s="317" t="s">
        <v>103</v>
      </c>
      <c r="H14" s="501">
        <v>1</v>
      </c>
      <c r="I14" s="57">
        <f>C13*H14</f>
        <v>5000</v>
      </c>
      <c r="J14" s="11"/>
      <c r="K14" s="632"/>
      <c r="L14" s="317" t="s">
        <v>103</v>
      </c>
      <c r="M14" s="501">
        <v>2</v>
      </c>
      <c r="N14" s="57">
        <f>C13*M14</f>
        <v>10000</v>
      </c>
      <c r="O14"/>
      <c r="P14" s="632"/>
      <c r="Q14" s="317" t="s">
        <v>103</v>
      </c>
      <c r="R14" s="501">
        <v>2</v>
      </c>
      <c r="S14" s="57">
        <f>C13*R14</f>
        <v>10000</v>
      </c>
      <c r="T14"/>
      <c r="U14"/>
      <c r="V14"/>
      <c r="W14"/>
      <c r="X14"/>
      <c r="Y14"/>
      <c r="Z14"/>
      <c r="AA14"/>
      <c r="AB14"/>
      <c r="AC14"/>
      <c r="AD14"/>
      <c r="AE14"/>
      <c r="AF14"/>
      <c r="AG14"/>
      <c r="AH14"/>
      <c r="AI14"/>
      <c r="AJ14"/>
      <c r="AK14"/>
      <c r="AL14"/>
      <c r="AM14"/>
      <c r="AN14"/>
      <c r="AO14"/>
      <c r="AP14"/>
      <c r="AQ14" s="11"/>
    </row>
    <row r="15" spans="1:43" ht="20.25" customHeight="1">
      <c r="A15" s="11"/>
      <c r="B15" s="481" t="s">
        <v>105</v>
      </c>
      <c r="C15" s="475">
        <f>Questions!C35</f>
        <v>2000</v>
      </c>
      <c r="D15" s="11"/>
      <c r="E15" s="11"/>
      <c r="F15" s="632"/>
      <c r="G15" s="317" t="s">
        <v>106</v>
      </c>
      <c r="H15" s="125">
        <f>'Collection Scenario'!E13</f>
        <v>1</v>
      </c>
      <c r="I15" s="57">
        <f>H15*C16</f>
        <v>60000</v>
      </c>
      <c r="J15" s="11"/>
      <c r="K15" s="632"/>
      <c r="L15" s="317" t="s">
        <v>106</v>
      </c>
      <c r="M15" s="125">
        <f>'Collection Scenario'!K13</f>
        <v>1</v>
      </c>
      <c r="N15" s="57">
        <f>M15*C16</f>
        <v>60000</v>
      </c>
      <c r="O15"/>
      <c r="P15" s="632"/>
      <c r="Q15" s="317" t="s">
        <v>106</v>
      </c>
      <c r="R15" s="125">
        <f>'Collection Scenario'!Q13</f>
        <v>1</v>
      </c>
      <c r="S15" s="57">
        <f>R15*C16</f>
        <v>60000</v>
      </c>
      <c r="T15"/>
      <c r="U15"/>
      <c r="V15"/>
      <c r="W15"/>
      <c r="X15"/>
      <c r="Y15"/>
      <c r="Z15"/>
      <c r="AA15"/>
      <c r="AB15"/>
      <c r="AC15"/>
      <c r="AD15"/>
      <c r="AE15"/>
      <c r="AF15"/>
      <c r="AG15"/>
      <c r="AH15"/>
      <c r="AI15"/>
      <c r="AJ15"/>
      <c r="AK15"/>
      <c r="AL15"/>
      <c r="AM15"/>
      <c r="AN15"/>
      <c r="AO15"/>
      <c r="AP15"/>
      <c r="AQ15" s="11"/>
    </row>
    <row r="16" spans="1:43" ht="21.75" customHeight="1">
      <c r="A16" s="11"/>
      <c r="B16" s="481" t="s">
        <v>106</v>
      </c>
      <c r="C16" s="475">
        <f>Questions!C36</f>
        <v>60000</v>
      </c>
      <c r="D16" s="11"/>
      <c r="E16" s="11"/>
      <c r="F16" s="632"/>
      <c r="G16" s="317" t="s">
        <v>105</v>
      </c>
      <c r="H16" s="501">
        <v>1</v>
      </c>
      <c r="I16" s="57">
        <f>H16*C15</f>
        <v>2000</v>
      </c>
      <c r="J16" s="11"/>
      <c r="K16" s="632"/>
      <c r="L16" s="317" t="s">
        <v>105</v>
      </c>
      <c r="M16" s="501">
        <v>1</v>
      </c>
      <c r="N16" s="57">
        <f>M16*C15</f>
        <v>2000</v>
      </c>
      <c r="O16"/>
      <c r="P16" s="632"/>
      <c r="Q16" s="317" t="s">
        <v>105</v>
      </c>
      <c r="R16" s="501">
        <v>1</v>
      </c>
      <c r="S16" s="57">
        <f>R16*C15</f>
        <v>2000</v>
      </c>
      <c r="T16"/>
      <c r="U16"/>
      <c r="V16"/>
      <c r="W16"/>
      <c r="X16"/>
      <c r="Y16"/>
      <c r="Z16"/>
      <c r="AA16"/>
      <c r="AB16"/>
      <c r="AC16"/>
      <c r="AD16"/>
      <c r="AE16"/>
      <c r="AF16"/>
      <c r="AG16"/>
      <c r="AH16"/>
      <c r="AI16"/>
      <c r="AJ16"/>
      <c r="AK16"/>
      <c r="AL16"/>
      <c r="AM16"/>
      <c r="AN16"/>
      <c r="AO16"/>
      <c r="AP16"/>
      <c r="AQ16" s="11"/>
    </row>
    <row r="17" spans="1:43" ht="21.75" customHeight="1">
      <c r="A17" s="11"/>
      <c r="B17" s="481" t="s">
        <v>107</v>
      </c>
      <c r="C17" s="475">
        <f>Questions!C37</f>
        <v>9000</v>
      </c>
      <c r="D17" s="11"/>
      <c r="E17" s="11"/>
      <c r="F17" s="632"/>
      <c r="G17" s="317" t="s">
        <v>104</v>
      </c>
      <c r="H17" s="501">
        <v>1</v>
      </c>
      <c r="I17" s="57">
        <f>H17*C14</f>
        <v>400</v>
      </c>
      <c r="J17" s="11"/>
      <c r="K17" s="632"/>
      <c r="L17" s="317" t="s">
        <v>104</v>
      </c>
      <c r="M17" s="501">
        <v>1</v>
      </c>
      <c r="N17" s="57">
        <f>M17*C14</f>
        <v>400</v>
      </c>
      <c r="O17"/>
      <c r="P17" s="632"/>
      <c r="Q17" s="317" t="s">
        <v>104</v>
      </c>
      <c r="R17" s="501">
        <v>1</v>
      </c>
      <c r="S17" s="57">
        <f>R17*C14</f>
        <v>400</v>
      </c>
      <c r="T17"/>
      <c r="U17"/>
      <c r="V17"/>
      <c r="W17"/>
      <c r="X17"/>
      <c r="Y17"/>
      <c r="Z17"/>
      <c r="AA17"/>
      <c r="AB17"/>
      <c r="AC17"/>
      <c r="AD17"/>
      <c r="AE17"/>
      <c r="AF17"/>
      <c r="AG17"/>
      <c r="AH17"/>
      <c r="AI17"/>
      <c r="AJ17"/>
      <c r="AK17"/>
      <c r="AL17"/>
      <c r="AM17"/>
      <c r="AN17"/>
      <c r="AO17"/>
      <c r="AP17"/>
      <c r="AQ17" s="11"/>
    </row>
    <row r="18" spans="1:43" ht="21.75" customHeight="1">
      <c r="A18" s="11"/>
      <c r="B18" s="481"/>
      <c r="C18" s="482"/>
      <c r="D18" s="11"/>
      <c r="E18" s="11"/>
      <c r="F18" s="632"/>
      <c r="G18" s="631" t="s">
        <v>20</v>
      </c>
      <c r="H18" s="631"/>
      <c r="I18" s="59">
        <f>SUM(I12:I17)</f>
        <v>95916</v>
      </c>
      <c r="J18" s="11"/>
      <c r="K18" s="632"/>
      <c r="L18" s="631" t="s">
        <v>20</v>
      </c>
      <c r="M18" s="631"/>
      <c r="N18" s="59">
        <f>SUM(N12:N17)</f>
        <v>129432</v>
      </c>
      <c r="O18"/>
      <c r="P18" s="632"/>
      <c r="Q18" s="631" t="s">
        <v>20</v>
      </c>
      <c r="R18" s="631"/>
      <c r="S18" s="59">
        <f>SUM(S12:S17)</f>
        <v>129432</v>
      </c>
      <c r="T18"/>
      <c r="U18"/>
      <c r="V18"/>
      <c r="W18"/>
      <c r="X18"/>
      <c r="Y18"/>
      <c r="Z18"/>
      <c r="AA18"/>
      <c r="AB18"/>
      <c r="AC18"/>
      <c r="AD18"/>
      <c r="AE18"/>
      <c r="AF18"/>
      <c r="AG18"/>
      <c r="AH18"/>
      <c r="AI18"/>
      <c r="AJ18"/>
      <c r="AK18"/>
      <c r="AL18"/>
      <c r="AM18"/>
      <c r="AN18"/>
      <c r="AO18"/>
      <c r="AP18"/>
      <c r="AQ18" s="11"/>
    </row>
    <row r="19" spans="1:43" ht="17.25" customHeight="1">
      <c r="A19" s="11"/>
      <c r="B19" s="11"/>
      <c r="C19" s="11"/>
      <c r="D19" s="11"/>
      <c r="E19" s="11"/>
      <c r="F19" s="633" t="str">
        <f>'Collection Scenario'!C14</f>
        <v>Community B</v>
      </c>
      <c r="G19" s="317" t="s">
        <v>98</v>
      </c>
      <c r="H19" s="125">
        <f>'Collection Scenario'!D14</f>
        <v>1</v>
      </c>
      <c r="I19" s="57">
        <f>$C$11*H19</f>
        <v>23516</v>
      </c>
      <c r="J19" s="11"/>
      <c r="K19" s="633" t="str">
        <f>'Collection Scenario'!I14</f>
        <v>Community B</v>
      </c>
      <c r="L19" s="317" t="s">
        <v>98</v>
      </c>
      <c r="M19" s="125">
        <f>'Collection Scenario'!J14</f>
        <v>1</v>
      </c>
      <c r="N19" s="57">
        <f>$C$11*M19</f>
        <v>23516</v>
      </c>
      <c r="O19"/>
      <c r="P19" s="633" t="str">
        <f>'Collection Scenario'!O14</f>
        <v>Community B</v>
      </c>
      <c r="Q19" s="317" t="s">
        <v>98</v>
      </c>
      <c r="R19" s="125">
        <f>'Collection Scenario'!P14</f>
        <v>1</v>
      </c>
      <c r="S19" s="57">
        <f>$C$11*R19</f>
        <v>23516</v>
      </c>
      <c r="T19"/>
      <c r="U19"/>
      <c r="V19"/>
      <c r="W19"/>
      <c r="X19"/>
      <c r="Y19"/>
      <c r="Z19"/>
      <c r="AA19"/>
      <c r="AB19"/>
      <c r="AC19"/>
      <c r="AD19"/>
      <c r="AE19"/>
      <c r="AF19"/>
      <c r="AG19"/>
      <c r="AH19"/>
      <c r="AI19"/>
      <c r="AJ19"/>
      <c r="AK19"/>
      <c r="AL19"/>
      <c r="AM19"/>
      <c r="AN19"/>
      <c r="AO19"/>
      <c r="AP19"/>
      <c r="AQ19" s="11"/>
    </row>
    <row r="20" spans="1:43" ht="17.25" customHeight="1">
      <c r="A20" s="11"/>
      <c r="B20" s="11"/>
      <c r="C20" s="11"/>
      <c r="D20" s="11"/>
      <c r="E20" s="11"/>
      <c r="F20" s="633"/>
      <c r="G20" s="317" t="s">
        <v>102</v>
      </c>
      <c r="H20" s="501">
        <f>$H$19</f>
        <v>1</v>
      </c>
      <c r="I20" s="57">
        <f>$C$12*H20</f>
        <v>5000</v>
      </c>
      <c r="J20" s="11"/>
      <c r="K20" s="633"/>
      <c r="L20" s="317" t="s">
        <v>102</v>
      </c>
      <c r="M20" s="501">
        <f>$H$19</f>
        <v>1</v>
      </c>
      <c r="N20" s="57">
        <f>$C$12*M20</f>
        <v>5000</v>
      </c>
      <c r="O20"/>
      <c r="P20" s="633"/>
      <c r="Q20" s="317" t="s">
        <v>102</v>
      </c>
      <c r="R20" s="501">
        <f>$H$19</f>
        <v>1</v>
      </c>
      <c r="S20" s="57">
        <f>$C$12*R20</f>
        <v>5000</v>
      </c>
      <c r="T20"/>
      <c r="U20"/>
      <c r="V20"/>
      <c r="W20"/>
      <c r="X20"/>
      <c r="Y20"/>
      <c r="Z20"/>
      <c r="AA20"/>
      <c r="AB20"/>
      <c r="AC20"/>
      <c r="AD20"/>
      <c r="AE20"/>
      <c r="AF20"/>
      <c r="AG20"/>
      <c r="AH20"/>
      <c r="AI20"/>
      <c r="AJ20"/>
      <c r="AK20"/>
      <c r="AL20"/>
      <c r="AM20"/>
      <c r="AN20"/>
      <c r="AO20"/>
      <c r="AP20"/>
      <c r="AQ20" s="11"/>
    </row>
    <row r="21" spans="1:43" ht="15">
      <c r="A21" s="11"/>
      <c r="B21" s="554" t="s">
        <v>108</v>
      </c>
      <c r="C21" s="554"/>
      <c r="D21" s="11"/>
      <c r="E21" s="11"/>
      <c r="F21" s="633"/>
      <c r="G21" s="317" t="s">
        <v>103</v>
      </c>
      <c r="H21" s="501">
        <v>1</v>
      </c>
      <c r="I21" s="57">
        <f>$C$13*H21</f>
        <v>5000</v>
      </c>
      <c r="J21" s="11"/>
      <c r="K21" s="633"/>
      <c r="L21" s="317" t="s">
        <v>103</v>
      </c>
      <c r="M21" s="501">
        <v>1</v>
      </c>
      <c r="N21" s="57">
        <f>$C$13*M21</f>
        <v>5000</v>
      </c>
      <c r="O21"/>
      <c r="P21" s="633"/>
      <c r="Q21" s="317" t="s">
        <v>103</v>
      </c>
      <c r="R21" s="501">
        <v>1</v>
      </c>
      <c r="S21" s="57">
        <f>$C$13*R21</f>
        <v>5000</v>
      </c>
      <c r="T21"/>
      <c r="U21"/>
      <c r="V21"/>
      <c r="W21"/>
      <c r="X21"/>
      <c r="Y21"/>
      <c r="Z21"/>
      <c r="AA21"/>
      <c r="AB21"/>
      <c r="AC21"/>
      <c r="AD21"/>
      <c r="AE21"/>
      <c r="AF21"/>
      <c r="AG21"/>
      <c r="AH21"/>
      <c r="AI21"/>
      <c r="AJ21"/>
      <c r="AK21"/>
      <c r="AL21"/>
      <c r="AM21"/>
      <c r="AN21"/>
      <c r="AO21"/>
      <c r="AP21"/>
      <c r="AQ21" s="11"/>
    </row>
    <row r="22" spans="1:43" ht="21" customHeight="1">
      <c r="A22" s="11"/>
      <c r="B22" s="442" t="s">
        <v>93</v>
      </c>
      <c r="C22" s="442" t="s">
        <v>94</v>
      </c>
      <c r="D22" s="11"/>
      <c r="E22"/>
      <c r="F22" s="633"/>
      <c r="G22" s="317" t="s">
        <v>106</v>
      </c>
      <c r="H22" s="125">
        <f>'Collection Scenario'!E14</f>
        <v>1</v>
      </c>
      <c r="I22" s="57">
        <f>$C$16*H22</f>
        <v>60000</v>
      </c>
      <c r="J22"/>
      <c r="K22" s="633"/>
      <c r="L22" s="317" t="s">
        <v>106</v>
      </c>
      <c r="M22" s="125">
        <f>'Collection Scenario'!K14</f>
        <v>1</v>
      </c>
      <c r="N22" s="57">
        <f>$C$16*M22</f>
        <v>60000</v>
      </c>
      <c r="O22"/>
      <c r="P22" s="633"/>
      <c r="Q22" s="317" t="s">
        <v>106</v>
      </c>
      <c r="R22" s="125">
        <f>'Collection Scenario'!Q14</f>
        <v>1</v>
      </c>
      <c r="S22" s="57">
        <f>$C$16*R22</f>
        <v>60000</v>
      </c>
      <c r="T22"/>
      <c r="U22"/>
      <c r="V22"/>
      <c r="W22"/>
      <c r="X22"/>
      <c r="Y22"/>
      <c r="Z22"/>
      <c r="AA22"/>
      <c r="AB22"/>
      <c r="AC22"/>
      <c r="AD22"/>
      <c r="AE22"/>
      <c r="AF22"/>
      <c r="AG22"/>
      <c r="AH22"/>
      <c r="AI22"/>
      <c r="AJ22"/>
      <c r="AK22"/>
      <c r="AL22"/>
      <c r="AM22"/>
      <c r="AN22"/>
      <c r="AO22"/>
      <c r="AP22"/>
      <c r="AQ22" s="11"/>
    </row>
    <row r="23" spans="1:43" ht="23.25" customHeight="1">
      <c r="A23" s="11"/>
      <c r="B23" s="474" t="s">
        <v>109</v>
      </c>
      <c r="C23" s="475">
        <f>Questions!C41</f>
        <v>130000</v>
      </c>
      <c r="D23" s="11"/>
      <c r="E23"/>
      <c r="F23" s="633"/>
      <c r="G23" s="317" t="s">
        <v>105</v>
      </c>
      <c r="H23" s="501">
        <v>1</v>
      </c>
      <c r="I23" s="57">
        <f>H23*C15</f>
        <v>2000</v>
      </c>
      <c r="J23"/>
      <c r="K23" s="633"/>
      <c r="L23" s="317" t="s">
        <v>105</v>
      </c>
      <c r="M23" s="501">
        <v>1</v>
      </c>
      <c r="N23" s="57">
        <f>M23*C15</f>
        <v>2000</v>
      </c>
      <c r="O23"/>
      <c r="P23" s="633"/>
      <c r="Q23" s="317" t="s">
        <v>105</v>
      </c>
      <c r="R23" s="501">
        <v>1</v>
      </c>
      <c r="S23" s="57">
        <f>R23*C15</f>
        <v>2000</v>
      </c>
      <c r="T23"/>
      <c r="U23"/>
      <c r="V23"/>
      <c r="W23"/>
      <c r="X23"/>
      <c r="Y23"/>
      <c r="Z23"/>
      <c r="AA23"/>
      <c r="AB23"/>
      <c r="AC23"/>
      <c r="AD23"/>
      <c r="AE23"/>
      <c r="AF23"/>
      <c r="AG23"/>
      <c r="AH23"/>
      <c r="AI23"/>
      <c r="AJ23"/>
      <c r="AK23"/>
      <c r="AL23"/>
      <c r="AM23"/>
      <c r="AN23"/>
      <c r="AO23"/>
      <c r="AP23"/>
      <c r="AQ23" s="11"/>
    </row>
    <row r="24" spans="1:43" ht="23.25" customHeight="1">
      <c r="A24" s="11"/>
      <c r="B24" s="474" t="s">
        <v>110</v>
      </c>
      <c r="C24" s="475">
        <v>986955</v>
      </c>
      <c r="D24" s="11"/>
      <c r="E24"/>
      <c r="F24" s="633"/>
      <c r="G24" s="317" t="s">
        <v>104</v>
      </c>
      <c r="H24" s="501">
        <v>1</v>
      </c>
      <c r="I24" s="57">
        <f>H24*C14</f>
        <v>400</v>
      </c>
      <c r="J24"/>
      <c r="K24" s="633"/>
      <c r="L24" s="317" t="s">
        <v>104</v>
      </c>
      <c r="M24" s="501">
        <v>1</v>
      </c>
      <c r="N24" s="57">
        <f>M24*C14</f>
        <v>400</v>
      </c>
      <c r="O24"/>
      <c r="P24" s="633"/>
      <c r="Q24" s="317" t="s">
        <v>104</v>
      </c>
      <c r="R24" s="501">
        <v>1</v>
      </c>
      <c r="S24" s="57">
        <f>R24*C14</f>
        <v>400</v>
      </c>
      <c r="T24"/>
      <c r="U24"/>
      <c r="V24"/>
      <c r="W24"/>
      <c r="X24"/>
      <c r="Y24"/>
      <c r="Z24"/>
      <c r="AA24"/>
      <c r="AB24"/>
      <c r="AC24"/>
      <c r="AD24"/>
      <c r="AE24"/>
      <c r="AF24"/>
      <c r="AG24"/>
      <c r="AH24"/>
      <c r="AI24"/>
      <c r="AJ24"/>
      <c r="AK24"/>
      <c r="AL24"/>
      <c r="AM24"/>
      <c r="AN24"/>
      <c r="AO24"/>
      <c r="AP24"/>
      <c r="AQ24" s="11"/>
    </row>
    <row r="25" spans="1:43" ht="21.75" customHeight="1">
      <c r="A25" s="11"/>
      <c r="B25" s="474"/>
      <c r="C25" s="475"/>
      <c r="D25" s="11"/>
      <c r="E25"/>
      <c r="F25" s="633"/>
      <c r="G25" s="631" t="s">
        <v>20</v>
      </c>
      <c r="H25" s="631"/>
      <c r="I25" s="59">
        <f>SUM(I19:I24)</f>
        <v>95916</v>
      </c>
      <c r="J25"/>
      <c r="K25" s="633"/>
      <c r="L25" s="631" t="s">
        <v>20</v>
      </c>
      <c r="M25" s="631"/>
      <c r="N25" s="59">
        <f>SUM(N19:N24)</f>
        <v>95916</v>
      </c>
      <c r="O25"/>
      <c r="P25" s="633"/>
      <c r="Q25" s="631" t="s">
        <v>20</v>
      </c>
      <c r="R25" s="631"/>
      <c r="S25" s="59">
        <f>SUM(S19:S24)</f>
        <v>95916</v>
      </c>
      <c r="T25"/>
      <c r="U25"/>
      <c r="V25"/>
      <c r="W25"/>
      <c r="X25"/>
      <c r="Y25"/>
      <c r="Z25"/>
      <c r="AA25"/>
      <c r="AB25"/>
      <c r="AC25"/>
      <c r="AD25"/>
      <c r="AE25"/>
      <c r="AF25"/>
      <c r="AG25"/>
      <c r="AH25"/>
      <c r="AI25"/>
      <c r="AJ25"/>
      <c r="AK25"/>
      <c r="AL25"/>
      <c r="AM25"/>
      <c r="AN25"/>
      <c r="AO25"/>
      <c r="AP25"/>
      <c r="AQ25" s="11"/>
    </row>
    <row r="26" spans="1:43" ht="24" customHeight="1">
      <c r="A26" s="11"/>
      <c r="B26" s="476" t="s">
        <v>111</v>
      </c>
      <c r="C26" s="475">
        <f>B47*Dashboard!I12</f>
        <v>144214801.37664893</v>
      </c>
      <c r="D26" s="11"/>
      <c r="E26"/>
      <c r="F26" s="635" t="str">
        <f>'Collection Scenario'!C15</f>
        <v>Community C</v>
      </c>
      <c r="G26" s="317" t="s">
        <v>98</v>
      </c>
      <c r="H26" s="125">
        <f>'Collection Scenario'!D15</f>
        <v>1</v>
      </c>
      <c r="I26" s="57">
        <f>$C$11*H26</f>
        <v>23516</v>
      </c>
      <c r="J26"/>
      <c r="K26" s="635" t="str">
        <f>'Collection Scenario'!I15</f>
        <v>Community C</v>
      </c>
      <c r="L26" s="317" t="s">
        <v>98</v>
      </c>
      <c r="M26" s="125">
        <f>'Collection Scenario'!J15</f>
        <v>1</v>
      </c>
      <c r="N26" s="57">
        <f>$C$11*M26</f>
        <v>23516</v>
      </c>
      <c r="O26"/>
      <c r="P26" s="635" t="str">
        <f>'Collection Scenario'!O15</f>
        <v>Community C</v>
      </c>
      <c r="Q26" s="317" t="s">
        <v>98</v>
      </c>
      <c r="R26" s="125">
        <f>'Collection Scenario'!P15</f>
        <v>1</v>
      </c>
      <c r="S26" s="57">
        <f>$C$11*R26</f>
        <v>23516</v>
      </c>
      <c r="T26"/>
      <c r="U26"/>
      <c r="V26"/>
      <c r="W26"/>
      <c r="X26"/>
      <c r="Y26"/>
      <c r="Z26"/>
      <c r="AA26"/>
      <c r="AB26"/>
      <c r="AC26"/>
      <c r="AD26"/>
      <c r="AE26"/>
      <c r="AF26"/>
      <c r="AG26"/>
      <c r="AH26"/>
      <c r="AI26"/>
      <c r="AJ26"/>
      <c r="AK26"/>
      <c r="AL26"/>
      <c r="AM26"/>
      <c r="AN26"/>
      <c r="AO26"/>
      <c r="AP26"/>
      <c r="AQ26" s="11"/>
    </row>
    <row r="27" spans="1:43" ht="21.75" customHeight="1">
      <c r="A27" s="11"/>
      <c r="B27" s="477"/>
      <c r="C27" s="475">
        <v>0</v>
      </c>
      <c r="D27" s="11"/>
      <c r="E27"/>
      <c r="F27" s="635"/>
      <c r="G27" s="317" t="s">
        <v>102</v>
      </c>
      <c r="H27" s="501">
        <f>$H$19</f>
        <v>1</v>
      </c>
      <c r="I27" s="57">
        <f>$C$12*H27</f>
        <v>5000</v>
      </c>
      <c r="J27"/>
      <c r="K27" s="635"/>
      <c r="L27" s="317" t="s">
        <v>102</v>
      </c>
      <c r="M27" s="501">
        <f>$H$19</f>
        <v>1</v>
      </c>
      <c r="N27" s="57">
        <f>$C$12*M27</f>
        <v>5000</v>
      </c>
      <c r="O27"/>
      <c r="P27" s="635"/>
      <c r="Q27" s="317" t="s">
        <v>102</v>
      </c>
      <c r="R27" s="501">
        <f>$H$19</f>
        <v>1</v>
      </c>
      <c r="S27" s="57">
        <f>$C$12*R27</f>
        <v>5000</v>
      </c>
      <c r="T27"/>
      <c r="U27"/>
      <c r="V27"/>
      <c r="W27"/>
      <c r="X27"/>
      <c r="Y27"/>
      <c r="Z27"/>
      <c r="AA27"/>
      <c r="AB27"/>
      <c r="AC27"/>
      <c r="AD27"/>
      <c r="AE27"/>
      <c r="AF27"/>
      <c r="AG27"/>
      <c r="AH27"/>
      <c r="AI27"/>
      <c r="AJ27"/>
      <c r="AK27"/>
      <c r="AL27"/>
      <c r="AM27"/>
      <c r="AN27"/>
      <c r="AO27"/>
      <c r="AP27"/>
      <c r="AQ27" s="11"/>
    </row>
    <row r="28" spans="1:43" ht="18.75" customHeight="1">
      <c r="A28" s="11"/>
      <c r="B28" s="478" t="s">
        <v>112</v>
      </c>
      <c r="C28" s="479">
        <f>SUM(C23:C27)</f>
        <v>145331756.37664893</v>
      </c>
      <c r="D28" s="11"/>
      <c r="E28"/>
      <c r="F28" s="635"/>
      <c r="G28" s="317" t="s">
        <v>103</v>
      </c>
      <c r="H28" s="501">
        <v>1</v>
      </c>
      <c r="I28" s="57">
        <f>$C$13*H28</f>
        <v>5000</v>
      </c>
      <c r="J28"/>
      <c r="K28" s="635"/>
      <c r="L28" s="317" t="s">
        <v>103</v>
      </c>
      <c r="M28" s="501">
        <v>1</v>
      </c>
      <c r="N28" s="57">
        <f>$C$13*M28</f>
        <v>5000</v>
      </c>
      <c r="O28"/>
      <c r="P28" s="635"/>
      <c r="Q28" s="317" t="s">
        <v>103</v>
      </c>
      <c r="R28" s="501">
        <v>1</v>
      </c>
      <c r="S28" s="57">
        <f>$C$13*R28</f>
        <v>5000</v>
      </c>
      <c r="T28"/>
      <c r="U28"/>
      <c r="V28"/>
      <c r="W28"/>
      <c r="X28"/>
      <c r="Y28"/>
      <c r="Z28"/>
      <c r="AA28"/>
      <c r="AB28"/>
      <c r="AC28"/>
      <c r="AD28"/>
      <c r="AE28"/>
      <c r="AF28"/>
      <c r="AG28"/>
      <c r="AH28"/>
      <c r="AI28"/>
      <c r="AJ28"/>
      <c r="AK28"/>
      <c r="AL28"/>
      <c r="AM28"/>
      <c r="AN28"/>
      <c r="AO28"/>
      <c r="AP28"/>
      <c r="AQ28" s="11"/>
    </row>
    <row r="29" spans="1:43" ht="18" customHeight="1">
      <c r="A29" s="11"/>
      <c r="B29" s="11"/>
      <c r="C29" s="11"/>
      <c r="D29" s="11"/>
      <c r="E29"/>
      <c r="F29" s="635"/>
      <c r="G29" s="317" t="s">
        <v>106</v>
      </c>
      <c r="H29" s="125">
        <f>'Collection Scenario'!E15</f>
        <v>1</v>
      </c>
      <c r="I29" s="57">
        <f>$C$16*H29</f>
        <v>60000</v>
      </c>
      <c r="J29"/>
      <c r="K29" s="635"/>
      <c r="L29" s="317" t="s">
        <v>106</v>
      </c>
      <c r="M29" s="125">
        <f>'Collection Scenario'!K15</f>
        <v>1</v>
      </c>
      <c r="N29" s="57">
        <f>$C$16*M29</f>
        <v>60000</v>
      </c>
      <c r="O29"/>
      <c r="P29" s="635"/>
      <c r="Q29" s="317" t="s">
        <v>106</v>
      </c>
      <c r="R29" s="125">
        <f>'Collection Scenario'!Q15</f>
        <v>1</v>
      </c>
      <c r="S29" s="57">
        <f>$C$16*R29</f>
        <v>60000</v>
      </c>
      <c r="T29"/>
      <c r="U29"/>
      <c r="V29"/>
      <c r="W29"/>
      <c r="X29"/>
      <c r="Y29"/>
      <c r="Z29"/>
      <c r="AA29"/>
      <c r="AB29"/>
      <c r="AC29"/>
      <c r="AD29"/>
      <c r="AE29"/>
      <c r="AF29"/>
      <c r="AG29"/>
      <c r="AH29"/>
      <c r="AI29"/>
      <c r="AJ29"/>
      <c r="AK29"/>
      <c r="AL29"/>
      <c r="AM29"/>
      <c r="AN29"/>
      <c r="AO29"/>
      <c r="AP29"/>
      <c r="AQ29" s="11"/>
    </row>
    <row r="30" spans="1:43" ht="15">
      <c r="A30" s="11"/>
      <c r="B30" s="11"/>
      <c r="C30" s="11"/>
      <c r="D30" s="11"/>
      <c r="E30"/>
      <c r="F30" s="635"/>
      <c r="G30" s="317" t="s">
        <v>105</v>
      </c>
      <c r="H30" s="501">
        <v>1</v>
      </c>
      <c r="I30" s="57">
        <f>H30*C15</f>
        <v>2000</v>
      </c>
      <c r="J30"/>
      <c r="K30" s="635"/>
      <c r="L30" s="317" t="s">
        <v>105</v>
      </c>
      <c r="M30" s="501">
        <v>1</v>
      </c>
      <c r="N30" s="57">
        <f>M30*C15</f>
        <v>2000</v>
      </c>
      <c r="O30"/>
      <c r="P30" s="635"/>
      <c r="Q30" s="317" t="s">
        <v>105</v>
      </c>
      <c r="R30" s="501">
        <v>1</v>
      </c>
      <c r="S30" s="57">
        <f>R30*C15</f>
        <v>2000</v>
      </c>
      <c r="T30"/>
      <c r="U30"/>
      <c r="V30"/>
      <c r="W30"/>
      <c r="X30"/>
      <c r="Y30"/>
      <c r="Z30"/>
      <c r="AA30"/>
      <c r="AB30"/>
      <c r="AC30"/>
      <c r="AD30"/>
      <c r="AE30"/>
      <c r="AF30"/>
      <c r="AG30"/>
      <c r="AH30"/>
      <c r="AI30"/>
      <c r="AJ30"/>
      <c r="AK30"/>
      <c r="AL30"/>
      <c r="AM30"/>
      <c r="AN30"/>
      <c r="AO30"/>
      <c r="AP30"/>
      <c r="AQ30" s="11"/>
    </row>
    <row r="31" spans="1:43" ht="15">
      <c r="A31" s="11"/>
      <c r="B31" s="11"/>
      <c r="C31" s="11"/>
      <c r="D31" s="11"/>
      <c r="E31"/>
      <c r="F31" s="635"/>
      <c r="G31" s="317" t="s">
        <v>104</v>
      </c>
      <c r="H31" s="501">
        <v>1</v>
      </c>
      <c r="I31" s="57">
        <f>H31*C14</f>
        <v>400</v>
      </c>
      <c r="J31"/>
      <c r="K31" s="635"/>
      <c r="L31" s="317" t="s">
        <v>104</v>
      </c>
      <c r="M31" s="501">
        <v>1</v>
      </c>
      <c r="N31" s="57">
        <f>M31*C14</f>
        <v>400</v>
      </c>
      <c r="O31"/>
      <c r="P31" s="635"/>
      <c r="Q31" s="317" t="s">
        <v>104</v>
      </c>
      <c r="R31" s="501">
        <v>1</v>
      </c>
      <c r="S31" s="57">
        <f>R31*C14</f>
        <v>400</v>
      </c>
      <c r="T31"/>
      <c r="U31"/>
      <c r="V31"/>
      <c r="W31"/>
      <c r="X31"/>
      <c r="Y31"/>
      <c r="Z31"/>
      <c r="AA31"/>
      <c r="AB31"/>
      <c r="AC31"/>
      <c r="AD31"/>
      <c r="AE31"/>
      <c r="AF31"/>
      <c r="AG31"/>
      <c r="AH31"/>
      <c r="AI31"/>
      <c r="AJ31"/>
      <c r="AK31"/>
      <c r="AL31"/>
      <c r="AM31"/>
      <c r="AN31"/>
      <c r="AO31"/>
      <c r="AP31"/>
      <c r="AQ31" s="11"/>
    </row>
    <row r="32" spans="1:43" ht="21" customHeight="1">
      <c r="A32" s="11"/>
      <c r="B32" s="629" t="s">
        <v>113</v>
      </c>
      <c r="C32" s="627" t="s">
        <v>114</v>
      </c>
      <c r="D32" s="627"/>
      <c r="E32"/>
      <c r="F32" s="635"/>
      <c r="G32" s="631" t="s">
        <v>20</v>
      </c>
      <c r="H32" s="631"/>
      <c r="I32" s="59">
        <f>SUM(I26:I31)</f>
        <v>95916</v>
      </c>
      <c r="J32"/>
      <c r="K32" s="635"/>
      <c r="L32" s="631" t="s">
        <v>20</v>
      </c>
      <c r="M32" s="631"/>
      <c r="N32" s="59">
        <f>SUM(N26:N31)</f>
        <v>95916</v>
      </c>
      <c r="O32"/>
      <c r="P32" s="635"/>
      <c r="Q32" s="631" t="s">
        <v>20</v>
      </c>
      <c r="R32" s="631"/>
      <c r="S32" s="59">
        <f>SUM(S26:S31)</f>
        <v>95916</v>
      </c>
      <c r="T32"/>
      <c r="U32"/>
      <c r="V32"/>
      <c r="W32"/>
      <c r="X32"/>
      <c r="Y32"/>
      <c r="Z32"/>
      <c r="AA32"/>
      <c r="AB32"/>
      <c r="AC32"/>
      <c r="AD32"/>
      <c r="AE32"/>
      <c r="AF32"/>
      <c r="AG32"/>
      <c r="AH32"/>
      <c r="AI32"/>
      <c r="AJ32"/>
      <c r="AK32"/>
      <c r="AL32"/>
      <c r="AM32"/>
      <c r="AN32"/>
      <c r="AO32"/>
      <c r="AP32"/>
      <c r="AQ32" s="11"/>
    </row>
    <row r="33" spans="1:43" ht="16.5" customHeight="1">
      <c r="A33" s="11"/>
      <c r="B33" s="629"/>
      <c r="C33" s="467" t="s">
        <v>9</v>
      </c>
      <c r="D33" s="468" t="s">
        <v>115</v>
      </c>
      <c r="E33"/>
      <c r="F33" s="636" t="str">
        <f>'Collection Scenario'!C16</f>
        <v>Community D</v>
      </c>
      <c r="G33" s="317" t="s">
        <v>98</v>
      </c>
      <c r="H33" s="125">
        <f>'Collection Scenario'!D16</f>
        <v>1</v>
      </c>
      <c r="I33" s="57">
        <f>$C$11*H33</f>
        <v>23516</v>
      </c>
      <c r="J33"/>
      <c r="K33" s="636" t="str">
        <f>'Collection Scenario'!I16</f>
        <v>Community D</v>
      </c>
      <c r="L33" s="317" t="s">
        <v>98</v>
      </c>
      <c r="M33" s="125">
        <f>'Collection Scenario'!J16</f>
        <v>1</v>
      </c>
      <c r="N33" s="57">
        <f>$C$11*M33</f>
        <v>23516</v>
      </c>
      <c r="O33"/>
      <c r="P33" s="636" t="str">
        <f>'Collection Scenario'!O16</f>
        <v>Community D</v>
      </c>
      <c r="Q33" s="317" t="s">
        <v>98</v>
      </c>
      <c r="R33" s="125">
        <f>'Collection Scenario'!P16</f>
        <v>1</v>
      </c>
      <c r="S33" s="57">
        <f>$C$11*R33</f>
        <v>23516</v>
      </c>
      <c r="T33"/>
      <c r="U33"/>
      <c r="V33"/>
      <c r="W33"/>
      <c r="X33"/>
      <c r="Y33"/>
      <c r="Z33"/>
      <c r="AA33"/>
      <c r="AB33"/>
      <c r="AC33"/>
      <c r="AD33"/>
      <c r="AE33"/>
      <c r="AF33"/>
      <c r="AG33"/>
      <c r="AH33"/>
      <c r="AI33"/>
      <c r="AJ33"/>
      <c r="AK33"/>
      <c r="AL33"/>
      <c r="AM33"/>
      <c r="AN33"/>
      <c r="AO33"/>
      <c r="AP33"/>
      <c r="AQ33" s="11"/>
    </row>
    <row r="34" spans="1:43" ht="18" customHeight="1">
      <c r="A34" s="11"/>
      <c r="B34" s="629"/>
      <c r="C34" s="469">
        <v>1</v>
      </c>
      <c r="D34" s="470">
        <f>C28+I46-D42</f>
        <v>145396788.37664893</v>
      </c>
      <c r="E34"/>
      <c r="F34" s="636"/>
      <c r="G34" s="317" t="s">
        <v>116</v>
      </c>
      <c r="H34" s="125">
        <f>'Collection Scenario'!E16</f>
        <v>1</v>
      </c>
      <c r="I34" s="57">
        <f>H34*C17</f>
        <v>9000</v>
      </c>
      <c r="J34"/>
      <c r="K34" s="636"/>
      <c r="L34" s="317" t="s">
        <v>116</v>
      </c>
      <c r="M34" s="125">
        <f>'Collection Scenario'!K16</f>
        <v>1</v>
      </c>
      <c r="N34" s="57">
        <f>M34*C17</f>
        <v>9000</v>
      </c>
      <c r="O34"/>
      <c r="P34" s="636"/>
      <c r="Q34" s="317" t="s">
        <v>116</v>
      </c>
      <c r="R34" s="125">
        <f>'Collection Scenario'!Q16</f>
        <v>1</v>
      </c>
      <c r="S34" s="57">
        <f>R34*C17</f>
        <v>9000</v>
      </c>
      <c r="T34"/>
      <c r="U34"/>
      <c r="V34"/>
      <c r="W34"/>
      <c r="X34"/>
      <c r="Y34"/>
      <c r="Z34"/>
      <c r="AA34"/>
      <c r="AB34"/>
      <c r="AC34"/>
      <c r="AD34"/>
      <c r="AE34"/>
      <c r="AF34"/>
      <c r="AG34"/>
      <c r="AH34"/>
      <c r="AI34"/>
      <c r="AJ34"/>
      <c r="AK34"/>
      <c r="AL34"/>
      <c r="AM34"/>
      <c r="AN34"/>
      <c r="AO34"/>
      <c r="AP34"/>
      <c r="AQ34" s="11"/>
    </row>
    <row r="35" spans="1:43" ht="15.75">
      <c r="A35" s="11"/>
      <c r="B35" s="629"/>
      <c r="C35" s="469">
        <v>2</v>
      </c>
      <c r="D35" s="470">
        <f>$C$28+N64-D42</f>
        <v>145527852.37664893</v>
      </c>
      <c r="E35"/>
      <c r="F35" s="636"/>
      <c r="G35" s="317"/>
      <c r="H35" s="125"/>
      <c r="I35" s="57">
        <f>$C$13*H35</f>
        <v>0</v>
      </c>
      <c r="J35"/>
      <c r="K35" s="636"/>
      <c r="L35" s="317"/>
      <c r="M35" s="125"/>
      <c r="N35" s="57">
        <f>$C$13*M35</f>
        <v>0</v>
      </c>
      <c r="O35"/>
      <c r="P35" s="636"/>
      <c r="Q35" s="317"/>
      <c r="R35" s="125"/>
      <c r="S35" s="57">
        <f>$C$13*R35</f>
        <v>0</v>
      </c>
      <c r="T35"/>
      <c r="U35"/>
      <c r="V35"/>
      <c r="W35"/>
      <c r="X35"/>
      <c r="Y35"/>
      <c r="Z35"/>
      <c r="AA35"/>
      <c r="AB35"/>
      <c r="AC35"/>
      <c r="AD35"/>
      <c r="AE35"/>
      <c r="AF35"/>
      <c r="AG35"/>
      <c r="AH35"/>
      <c r="AI35"/>
      <c r="AJ35"/>
      <c r="AK35"/>
      <c r="AL35"/>
      <c r="AM35"/>
      <c r="AN35"/>
      <c r="AO35"/>
      <c r="AP35"/>
      <c r="AQ35" s="11"/>
    </row>
    <row r="36" spans="1:43" ht="14.25" customHeight="1">
      <c r="A36" s="11"/>
      <c r="B36" s="629"/>
      <c r="C36" s="469">
        <v>3</v>
      </c>
      <c r="D36" s="470">
        <f>S82+$C$28-D42</f>
        <v>145769400.37664893</v>
      </c>
      <c r="E36"/>
      <c r="F36" s="636"/>
      <c r="G36" s="317"/>
      <c r="H36" s="125"/>
      <c r="I36" s="57">
        <f>$C$16*H36</f>
        <v>0</v>
      </c>
      <c r="J36"/>
      <c r="K36" s="636"/>
      <c r="L36" s="317"/>
      <c r="M36" s="125"/>
      <c r="N36" s="57">
        <f>$C$16*M36</f>
        <v>0</v>
      </c>
      <c r="O36"/>
      <c r="P36" s="636"/>
      <c r="Q36" s="317"/>
      <c r="R36" s="125"/>
      <c r="S36" s="57">
        <f>$C$16*R36</f>
        <v>0</v>
      </c>
      <c r="T36"/>
      <c r="U36"/>
      <c r="V36"/>
      <c r="W36"/>
      <c r="X36"/>
      <c r="Y36"/>
      <c r="Z36"/>
      <c r="AA36"/>
      <c r="AB36"/>
      <c r="AC36"/>
      <c r="AD36"/>
      <c r="AE36"/>
      <c r="AF36"/>
      <c r="AG36"/>
      <c r="AH36"/>
      <c r="AI36"/>
      <c r="AJ36"/>
      <c r="AK36"/>
      <c r="AL36"/>
      <c r="AM36"/>
      <c r="AN36"/>
      <c r="AO36"/>
      <c r="AP36"/>
      <c r="AQ36" s="11"/>
    </row>
    <row r="37" spans="1:43" ht="14.25" customHeight="1">
      <c r="A37" s="11"/>
      <c r="B37" s="629"/>
      <c r="C37" s="469"/>
      <c r="D37" s="471"/>
      <c r="E37"/>
      <c r="F37" s="636"/>
      <c r="G37" s="317"/>
      <c r="H37" s="125"/>
      <c r="I37" s="57"/>
      <c r="J37"/>
      <c r="K37" s="636"/>
      <c r="L37" s="317"/>
      <c r="M37" s="125"/>
      <c r="N37" s="57"/>
      <c r="O37"/>
      <c r="P37" s="636"/>
      <c r="Q37" s="317"/>
      <c r="R37" s="125"/>
      <c r="S37" s="57"/>
      <c r="T37"/>
      <c r="U37"/>
      <c r="V37"/>
      <c r="W37"/>
      <c r="X37"/>
      <c r="Y37"/>
      <c r="Z37"/>
      <c r="AA37"/>
      <c r="AB37"/>
      <c r="AC37"/>
      <c r="AD37"/>
      <c r="AE37"/>
      <c r="AF37"/>
      <c r="AG37"/>
      <c r="AH37"/>
      <c r="AI37"/>
      <c r="AJ37"/>
      <c r="AK37"/>
      <c r="AL37"/>
      <c r="AM37"/>
      <c r="AN37"/>
      <c r="AO37"/>
      <c r="AP37"/>
      <c r="AQ37" s="11"/>
    </row>
    <row r="38" spans="1:43" ht="14.25" customHeight="1">
      <c r="A38" s="11"/>
      <c r="B38" s="629"/>
      <c r="C38" s="469"/>
      <c r="D38" s="471"/>
      <c r="E38"/>
      <c r="F38" s="636"/>
      <c r="G38" s="631" t="s">
        <v>20</v>
      </c>
      <c r="H38" s="631"/>
      <c r="I38" s="59">
        <f>SUM(I33:I37)</f>
        <v>32516</v>
      </c>
      <c r="J38"/>
      <c r="K38" s="636"/>
      <c r="L38" s="631" t="s">
        <v>20</v>
      </c>
      <c r="M38" s="631"/>
      <c r="N38" s="59">
        <f>SUM(N33:N37)</f>
        <v>32516</v>
      </c>
      <c r="O38"/>
      <c r="P38" s="636"/>
      <c r="Q38" s="631" t="s">
        <v>20</v>
      </c>
      <c r="R38" s="631"/>
      <c r="S38" s="59">
        <f>SUM(S33:S37)</f>
        <v>32516</v>
      </c>
      <c r="T38"/>
      <c r="U38"/>
      <c r="V38"/>
      <c r="W38"/>
      <c r="X38"/>
      <c r="Y38"/>
      <c r="Z38"/>
      <c r="AA38"/>
      <c r="AB38"/>
      <c r="AC38"/>
      <c r="AD38"/>
      <c r="AE38"/>
      <c r="AF38"/>
      <c r="AG38"/>
      <c r="AH38"/>
      <c r="AI38"/>
      <c r="AJ38"/>
      <c r="AK38"/>
      <c r="AL38"/>
      <c r="AM38"/>
      <c r="AN38"/>
      <c r="AO38"/>
      <c r="AP38"/>
      <c r="AQ38" s="11"/>
    </row>
    <row r="39" spans="1:43" ht="14.25" customHeight="1">
      <c r="A39" s="11"/>
      <c r="B39" s="629"/>
      <c r="C39" s="469"/>
      <c r="D39" s="471"/>
      <c r="E39"/>
      <c r="F39" s="637" t="str">
        <f>'Collection Scenario'!C17</f>
        <v>Community E</v>
      </c>
      <c r="G39" s="317" t="s">
        <v>98</v>
      </c>
      <c r="H39" s="125">
        <f>'Collection Scenario'!D17</f>
        <v>1</v>
      </c>
      <c r="I39" s="57">
        <f>$C$11*H39</f>
        <v>23516</v>
      </c>
      <c r="J39"/>
      <c r="K39" s="637" t="str">
        <f>'Collection Scenario'!I17</f>
        <v>Community E</v>
      </c>
      <c r="L39" s="317" t="s">
        <v>98</v>
      </c>
      <c r="M39" s="125">
        <f>'Collection Scenario'!J17</f>
        <v>1</v>
      </c>
      <c r="N39" s="57">
        <f>$C$11*M39</f>
        <v>23516</v>
      </c>
      <c r="O39"/>
      <c r="P39" s="637" t="str">
        <f>'Collection Scenario'!O17</f>
        <v>Community E</v>
      </c>
      <c r="Q39" s="317" t="s">
        <v>98</v>
      </c>
      <c r="R39" s="125">
        <f>'Collection Scenario'!P17</f>
        <v>1</v>
      </c>
      <c r="S39" s="57">
        <f>$C$11*R39</f>
        <v>23516</v>
      </c>
      <c r="T39"/>
      <c r="U39"/>
      <c r="V39"/>
      <c r="W39"/>
      <c r="X39"/>
      <c r="Y39"/>
      <c r="Z39"/>
      <c r="AA39"/>
      <c r="AB39"/>
      <c r="AC39"/>
      <c r="AD39"/>
      <c r="AE39"/>
      <c r="AF39"/>
      <c r="AG39"/>
      <c r="AH39"/>
      <c r="AI39"/>
      <c r="AJ39"/>
      <c r="AK39"/>
      <c r="AL39"/>
      <c r="AM39"/>
      <c r="AN39"/>
      <c r="AO39"/>
      <c r="AP39"/>
      <c r="AQ39" s="11"/>
    </row>
    <row r="40" spans="1:43" ht="14.25" customHeight="1">
      <c r="A40" s="11"/>
      <c r="B40" s="629"/>
      <c r="C40" s="628" t="s">
        <v>117</v>
      </c>
      <c r="D40" s="628"/>
      <c r="E40"/>
      <c r="F40" s="637"/>
      <c r="G40" s="317" t="s">
        <v>116</v>
      </c>
      <c r="H40" s="125">
        <f>'Collection Scenario'!E17</f>
        <v>1</v>
      </c>
      <c r="I40" s="57">
        <f>1*C17</f>
        <v>9000</v>
      </c>
      <c r="J40"/>
      <c r="K40" s="637"/>
      <c r="L40" s="317" t="s">
        <v>116</v>
      </c>
      <c r="M40" s="125">
        <f>'Collection Scenario'!K17</f>
        <v>1</v>
      </c>
      <c r="N40" s="57">
        <f>M40*C17</f>
        <v>9000</v>
      </c>
      <c r="O40"/>
      <c r="P40" s="637"/>
      <c r="Q40" s="317" t="s">
        <v>116</v>
      </c>
      <c r="R40" s="125">
        <f>'Collection Scenario'!Q17</f>
        <v>1</v>
      </c>
      <c r="S40" s="57">
        <f>R40*C17</f>
        <v>9000</v>
      </c>
      <c r="T40"/>
      <c r="U40"/>
      <c r="V40"/>
      <c r="W40"/>
      <c r="X40"/>
      <c r="Y40"/>
      <c r="Z40"/>
      <c r="AA40"/>
      <c r="AB40"/>
      <c r="AC40"/>
      <c r="AD40"/>
      <c r="AE40"/>
      <c r="AF40"/>
      <c r="AG40"/>
      <c r="AH40"/>
      <c r="AI40"/>
      <c r="AJ40"/>
      <c r="AK40"/>
      <c r="AL40"/>
      <c r="AM40"/>
      <c r="AN40"/>
      <c r="AO40"/>
      <c r="AP40"/>
      <c r="AQ40" s="11"/>
    </row>
    <row r="41" spans="1:43" ht="15.75">
      <c r="A41" s="11"/>
      <c r="B41" s="629"/>
      <c r="C41" s="472" t="s">
        <v>19</v>
      </c>
      <c r="D41" s="470">
        <v>0</v>
      </c>
      <c r="E41"/>
      <c r="F41" s="637"/>
      <c r="G41" s="317"/>
      <c r="H41" s="125"/>
      <c r="I41" s="57">
        <f>$C$13*H41</f>
        <v>0</v>
      </c>
      <c r="J41"/>
      <c r="K41" s="637"/>
      <c r="L41" s="317"/>
      <c r="M41" s="125"/>
      <c r="N41" s="57">
        <f>$C$13*M41</f>
        <v>0</v>
      </c>
      <c r="O41"/>
      <c r="P41" s="637"/>
      <c r="Q41" s="317"/>
      <c r="R41" s="125"/>
      <c r="S41" s="57">
        <f>$C$13*R41</f>
        <v>0</v>
      </c>
      <c r="T41"/>
      <c r="U41"/>
      <c r="V41"/>
      <c r="W41"/>
      <c r="X41"/>
      <c r="Y41"/>
      <c r="Z41"/>
      <c r="AA41"/>
      <c r="AB41"/>
      <c r="AC41"/>
      <c r="AD41"/>
      <c r="AE41"/>
      <c r="AF41"/>
      <c r="AG41"/>
      <c r="AH41"/>
      <c r="AI41"/>
      <c r="AJ41"/>
      <c r="AK41"/>
      <c r="AL41"/>
      <c r="AM41"/>
      <c r="AN41"/>
      <c r="AO41"/>
      <c r="AP41"/>
      <c r="AQ41" s="11"/>
    </row>
    <row r="42" spans="1:43" ht="14.25" customHeight="1">
      <c r="A42" s="11"/>
      <c r="B42" s="629"/>
      <c r="C42" s="473" t="s">
        <v>17</v>
      </c>
      <c r="D42" s="470">
        <f>I18+I25+I32</f>
        <v>287748</v>
      </c>
      <c r="E42"/>
      <c r="F42" s="637"/>
      <c r="G42" s="317"/>
      <c r="H42" s="125"/>
      <c r="I42" s="57">
        <f>$C$16*H42</f>
        <v>0</v>
      </c>
      <c r="J42"/>
      <c r="K42" s="637"/>
      <c r="L42" s="317"/>
      <c r="M42" s="125"/>
      <c r="N42" s="57">
        <f>$C$16*M42</f>
        <v>0</v>
      </c>
      <c r="O42"/>
      <c r="P42" s="637"/>
      <c r="Q42" s="317"/>
      <c r="R42" s="125"/>
      <c r="S42" s="57">
        <f>$C$16*R42</f>
        <v>0</v>
      </c>
      <c r="T42"/>
      <c r="U42"/>
      <c r="V42"/>
      <c r="W42"/>
      <c r="X42"/>
      <c r="Y42"/>
      <c r="Z42"/>
      <c r="AA42"/>
      <c r="AB42"/>
      <c r="AC42"/>
      <c r="AD42"/>
      <c r="AE42"/>
      <c r="AF42"/>
      <c r="AG42"/>
      <c r="AH42"/>
      <c r="AI42"/>
      <c r="AJ42"/>
      <c r="AK42"/>
      <c r="AL42"/>
      <c r="AM42"/>
      <c r="AN42"/>
      <c r="AO42"/>
      <c r="AP42"/>
      <c r="AQ42" s="11"/>
    </row>
    <row r="43" spans="1:43" ht="14.25" customHeight="1">
      <c r="A43" s="18"/>
      <c r="B43" s="24"/>
      <c r="C43" s="23"/>
      <c r="D43" s="11"/>
      <c r="E43"/>
      <c r="F43" s="637"/>
      <c r="G43" s="317"/>
      <c r="H43" s="125"/>
      <c r="I43" s="57"/>
      <c r="J43"/>
      <c r="K43" s="637"/>
      <c r="L43" s="317"/>
      <c r="M43" s="125"/>
      <c r="N43" s="57"/>
      <c r="O43"/>
      <c r="P43" s="637"/>
      <c r="Q43" s="317"/>
      <c r="R43" s="125"/>
      <c r="S43" s="57"/>
      <c r="T43"/>
      <c r="U43"/>
      <c r="V43"/>
      <c r="W43"/>
      <c r="X43"/>
      <c r="Y43"/>
      <c r="Z43"/>
      <c r="AA43"/>
      <c r="AB43"/>
      <c r="AC43"/>
      <c r="AD43"/>
      <c r="AE43"/>
      <c r="AF43"/>
      <c r="AG43"/>
      <c r="AH43"/>
      <c r="AI43"/>
      <c r="AJ43"/>
      <c r="AK43"/>
      <c r="AL43"/>
      <c r="AM43"/>
      <c r="AN43"/>
      <c r="AO43"/>
      <c r="AP43"/>
      <c r="AQ43" s="11"/>
    </row>
    <row r="44" spans="1:43" ht="14.25" customHeight="1">
      <c r="A44" s="18"/>
      <c r="B44" s="24"/>
      <c r="C44" s="23"/>
      <c r="D44" s="11"/>
      <c r="E44"/>
      <c r="F44" s="637"/>
      <c r="G44" s="631" t="s">
        <v>20</v>
      </c>
      <c r="H44" s="631"/>
      <c r="I44" s="59">
        <f>SUM(I39:I43)</f>
        <v>32516</v>
      </c>
      <c r="J44"/>
      <c r="K44" s="637"/>
      <c r="L44" s="631" t="s">
        <v>20</v>
      </c>
      <c r="M44" s="631"/>
      <c r="N44" s="59">
        <f>SUM(N39:N43)</f>
        <v>32516</v>
      </c>
      <c r="O44"/>
      <c r="P44" s="637"/>
      <c r="Q44" s="631" t="s">
        <v>20</v>
      </c>
      <c r="R44" s="631"/>
      <c r="S44" s="59">
        <f>SUM(S39:S43)</f>
        <v>32516</v>
      </c>
      <c r="T44"/>
      <c r="U44"/>
      <c r="V44"/>
      <c r="W44"/>
      <c r="X44"/>
      <c r="Y44"/>
      <c r="Z44"/>
      <c r="AA44"/>
      <c r="AB44"/>
      <c r="AC44"/>
      <c r="AD44"/>
      <c r="AE44"/>
      <c r="AF44"/>
      <c r="AG44"/>
      <c r="AH44"/>
      <c r="AI44"/>
      <c r="AJ44"/>
      <c r="AK44"/>
      <c r="AL44"/>
      <c r="AM44"/>
      <c r="AN44"/>
      <c r="AO44"/>
      <c r="AP44"/>
      <c r="AQ44" s="11"/>
    </row>
    <row r="45" spans="1:43" ht="14.25" customHeight="1">
      <c r="A45" s="18"/>
      <c r="B45" s="24"/>
      <c r="C45" s="23"/>
      <c r="D45" s="11"/>
      <c r="E45"/>
      <c r="F45" s="384"/>
      <c r="G45" s="384"/>
      <c r="H45" s="384"/>
      <c r="I45" s="463"/>
      <c r="J45"/>
      <c r="K45" s="639" t="str">
        <f>'Collection Scenario'!I18</f>
        <v>Community F</v>
      </c>
      <c r="L45" s="317" t="s">
        <v>98</v>
      </c>
      <c r="M45" s="125">
        <f>'Collection Scenario'!J18</f>
        <v>1</v>
      </c>
      <c r="N45" s="57">
        <f>$C$11*M45</f>
        <v>23516</v>
      </c>
      <c r="O45"/>
      <c r="P45" s="639" t="str">
        <f>'Collection Scenario'!O18</f>
        <v>Community F</v>
      </c>
      <c r="Q45" s="317" t="s">
        <v>98</v>
      </c>
      <c r="R45" s="125">
        <f>'Collection Scenario'!P18</f>
        <v>1</v>
      </c>
      <c r="S45" s="57">
        <f>$C$11*R45</f>
        <v>23516</v>
      </c>
      <c r="T45"/>
      <c r="U45"/>
      <c r="V45"/>
      <c r="W45"/>
      <c r="X45"/>
      <c r="Y45"/>
      <c r="Z45"/>
      <c r="AA45"/>
      <c r="AB45"/>
      <c r="AC45"/>
      <c r="AD45"/>
      <c r="AE45"/>
      <c r="AF45"/>
      <c r="AG45"/>
      <c r="AH45"/>
      <c r="AI45"/>
      <c r="AJ45"/>
      <c r="AK45"/>
      <c r="AL45"/>
      <c r="AM45"/>
      <c r="AN45"/>
      <c r="AO45"/>
      <c r="AP45"/>
      <c r="AQ45" s="11"/>
    </row>
    <row r="46" spans="1:43" ht="15" customHeight="1">
      <c r="A46" s="18"/>
      <c r="B46" s="39" t="s">
        <v>118</v>
      </c>
      <c r="C46" s="23"/>
      <c r="D46" s="11"/>
      <c r="E46"/>
      <c r="F46" s="384"/>
      <c r="G46" s="638" t="s">
        <v>119</v>
      </c>
      <c r="H46" s="638"/>
      <c r="I46" s="464">
        <f>I18+I25+I32+I38+I44</f>
        <v>352780</v>
      </c>
      <c r="J46"/>
      <c r="K46" s="639"/>
      <c r="L46" s="317" t="s">
        <v>116</v>
      </c>
      <c r="M46" s="125">
        <f>'Collection Scenario'!K18</f>
        <v>1</v>
      </c>
      <c r="N46" s="57">
        <f>M46*C17</f>
        <v>9000</v>
      </c>
      <c r="O46"/>
      <c r="P46" s="639"/>
      <c r="Q46" s="317" t="s">
        <v>116</v>
      </c>
      <c r="R46" s="125">
        <f>'Collection Scenario'!Q18</f>
        <v>1</v>
      </c>
      <c r="S46" s="57">
        <f>R46*C17</f>
        <v>9000</v>
      </c>
      <c r="T46"/>
      <c r="U46"/>
      <c r="V46"/>
      <c r="W46"/>
      <c r="X46"/>
      <c r="Y46"/>
      <c r="Z46"/>
      <c r="AA46"/>
      <c r="AB46"/>
      <c r="AC46"/>
      <c r="AD46"/>
      <c r="AE46"/>
      <c r="AF46"/>
      <c r="AG46"/>
      <c r="AH46"/>
      <c r="AI46"/>
      <c r="AJ46"/>
      <c r="AK46"/>
      <c r="AL46"/>
      <c r="AM46"/>
      <c r="AN46"/>
      <c r="AO46"/>
      <c r="AP46"/>
      <c r="AQ46" s="11"/>
    </row>
    <row r="47" spans="1:43" ht="21.75" customHeight="1">
      <c r="A47" s="18"/>
      <c r="B47" s="65">
        <f>'INITIAL DATA'!D39*2</f>
        <v>480716004.58882982</v>
      </c>
      <c r="C47" s="11"/>
      <c r="D47" s="11"/>
      <c r="E47"/>
      <c r="F47"/>
      <c r="G47" s="634"/>
      <c r="H47" s="634"/>
      <c r="I47"/>
      <c r="J47"/>
      <c r="K47" s="639"/>
      <c r="L47" s="317"/>
      <c r="M47" s="125"/>
      <c r="N47" s="57">
        <f>$C$13*M47</f>
        <v>0</v>
      </c>
      <c r="O47"/>
      <c r="P47" s="639"/>
      <c r="Q47" s="317"/>
      <c r="R47" s="125"/>
      <c r="S47" s="57">
        <f>$C$13*R47</f>
        <v>0</v>
      </c>
      <c r="T47"/>
      <c r="U47"/>
      <c r="V47"/>
      <c r="W47"/>
      <c r="X47"/>
      <c r="Y47"/>
      <c r="Z47"/>
      <c r="AA47"/>
      <c r="AB47"/>
      <c r="AC47"/>
      <c r="AD47"/>
      <c r="AE47"/>
      <c r="AF47"/>
      <c r="AG47"/>
      <c r="AH47"/>
      <c r="AI47"/>
      <c r="AJ47"/>
      <c r="AK47"/>
      <c r="AL47"/>
      <c r="AM47"/>
      <c r="AN47"/>
      <c r="AO47"/>
      <c r="AP47"/>
      <c r="AQ47" s="11"/>
    </row>
    <row r="48" spans="1:43" ht="14.85" customHeight="1">
      <c r="A48" s="18"/>
      <c r="B48" s="11"/>
      <c r="C48" s="11"/>
      <c r="D48" s="11"/>
      <c r="E48"/>
      <c r="F48"/>
      <c r="G48"/>
      <c r="H48"/>
      <c r="I48"/>
      <c r="J48"/>
      <c r="K48" s="639"/>
      <c r="L48" s="317"/>
      <c r="M48" s="125"/>
      <c r="N48" s="57">
        <f>$C$16*M48</f>
        <v>0</v>
      </c>
      <c r="O48"/>
      <c r="P48" s="639"/>
      <c r="Q48" s="317"/>
      <c r="R48" s="125"/>
      <c r="S48" s="57">
        <f>$C$16*R48</f>
        <v>0</v>
      </c>
      <c r="T48"/>
      <c r="U48"/>
      <c r="V48"/>
      <c r="W48"/>
      <c r="X48"/>
      <c r="Y48"/>
      <c r="Z48"/>
      <c r="AA48"/>
      <c r="AB48"/>
      <c r="AC48"/>
      <c r="AD48"/>
      <c r="AE48"/>
      <c r="AF48"/>
      <c r="AG48"/>
      <c r="AH48"/>
      <c r="AI48"/>
      <c r="AJ48"/>
      <c r="AK48"/>
      <c r="AL48"/>
      <c r="AM48"/>
      <c r="AN48"/>
      <c r="AO48"/>
      <c r="AP48"/>
      <c r="AQ48" s="11"/>
    </row>
    <row r="49" spans="1:43" ht="14.25" customHeight="1">
      <c r="A49" s="11"/>
      <c r="B49" s="11"/>
      <c r="C49" s="11"/>
      <c r="D49" s="11"/>
      <c r="E49" s="11"/>
      <c r="F49"/>
      <c r="G49"/>
      <c r="H49"/>
      <c r="I49"/>
      <c r="J49"/>
      <c r="K49" s="639"/>
      <c r="L49" s="317"/>
      <c r="M49" s="125"/>
      <c r="N49" s="57"/>
      <c r="O49"/>
      <c r="P49" s="639"/>
      <c r="Q49" s="317"/>
      <c r="R49" s="125"/>
      <c r="S49" s="57"/>
      <c r="T49"/>
      <c r="U49"/>
      <c r="V49"/>
      <c r="W49"/>
      <c r="X49"/>
      <c r="Y49"/>
      <c r="Z49"/>
      <c r="AA49"/>
      <c r="AB49"/>
      <c r="AC49"/>
      <c r="AD49"/>
      <c r="AE49"/>
      <c r="AF49"/>
      <c r="AG49"/>
      <c r="AH49"/>
      <c r="AI49"/>
      <c r="AJ49"/>
      <c r="AK49"/>
      <c r="AL49"/>
      <c r="AM49"/>
      <c r="AN49"/>
      <c r="AO49"/>
      <c r="AP49"/>
      <c r="AQ49" s="11"/>
    </row>
    <row r="50" spans="1:43" ht="22.5" customHeight="1">
      <c r="A50" s="11"/>
      <c r="B50" s="11"/>
      <c r="C50" s="11"/>
      <c r="D50" s="11"/>
      <c r="E50" s="11"/>
      <c r="F50"/>
      <c r="G50" s="634"/>
      <c r="H50" s="634"/>
      <c r="I50"/>
      <c r="J50"/>
      <c r="K50" s="639"/>
      <c r="L50" s="631" t="s">
        <v>20</v>
      </c>
      <c r="M50" s="631"/>
      <c r="N50" s="59">
        <f>SUM(N45:N49)</f>
        <v>32516</v>
      </c>
      <c r="O50"/>
      <c r="P50" s="639"/>
      <c r="Q50" s="631" t="s">
        <v>20</v>
      </c>
      <c r="R50" s="631"/>
      <c r="S50" s="59">
        <f>SUM(S45:S49)</f>
        <v>32516</v>
      </c>
      <c r="T50"/>
      <c r="U50"/>
      <c r="V50"/>
      <c r="W50"/>
      <c r="X50"/>
      <c r="Y50"/>
      <c r="Z50"/>
      <c r="AA50"/>
      <c r="AB50"/>
      <c r="AC50"/>
      <c r="AD50"/>
      <c r="AE50"/>
      <c r="AF50"/>
      <c r="AG50"/>
      <c r="AH50"/>
      <c r="AI50"/>
      <c r="AJ50"/>
      <c r="AK50"/>
      <c r="AL50"/>
      <c r="AM50"/>
      <c r="AN50"/>
      <c r="AO50"/>
      <c r="AP50"/>
      <c r="AQ50" s="11"/>
    </row>
    <row r="51" spans="1:43" ht="18.75" customHeight="1">
      <c r="A51" s="11"/>
      <c r="B51" s="11"/>
      <c r="C51" s="11"/>
      <c r="D51" s="11"/>
      <c r="E51" s="11"/>
      <c r="F51"/>
      <c r="G51"/>
      <c r="H51"/>
      <c r="I51"/>
      <c r="J51"/>
      <c r="K51" s="640" t="str">
        <f>'Collection Scenario'!I19</f>
        <v>Community G</v>
      </c>
      <c r="L51" s="317" t="s">
        <v>98</v>
      </c>
      <c r="M51" s="125">
        <f>'Collection Scenario'!J19</f>
        <v>1</v>
      </c>
      <c r="N51" s="57">
        <f>$C$11*M51</f>
        <v>23516</v>
      </c>
      <c r="O51"/>
      <c r="P51" s="640" t="str">
        <f>'Collection Scenario'!O19</f>
        <v>Community G</v>
      </c>
      <c r="Q51" s="317" t="s">
        <v>98</v>
      </c>
      <c r="R51" s="125">
        <f>'Collection Scenario'!P19</f>
        <v>1</v>
      </c>
      <c r="S51" s="57">
        <f>$C$11*R51</f>
        <v>23516</v>
      </c>
      <c r="T51"/>
      <c r="U51"/>
      <c r="V51"/>
      <c r="W51"/>
      <c r="X51"/>
      <c r="Y51"/>
      <c r="Z51"/>
      <c r="AA51"/>
      <c r="AB51"/>
      <c r="AC51"/>
      <c r="AD51"/>
      <c r="AE51"/>
      <c r="AF51"/>
      <c r="AG51"/>
      <c r="AH51"/>
      <c r="AI51"/>
      <c r="AJ51"/>
      <c r="AK51"/>
      <c r="AL51"/>
      <c r="AM51"/>
      <c r="AN51"/>
      <c r="AO51"/>
      <c r="AP51"/>
      <c r="AQ51" s="11"/>
    </row>
    <row r="52" spans="1:43" ht="14.1" customHeight="1">
      <c r="A52" s="11"/>
      <c r="B52" s="11"/>
      <c r="C52" s="11"/>
      <c r="D52" s="11"/>
      <c r="E52" s="11"/>
      <c r="F52" s="18"/>
      <c r="G52" s="11"/>
      <c r="H52" s="11"/>
      <c r="I52" s="20"/>
      <c r="J52" s="11"/>
      <c r="K52" s="640"/>
      <c r="L52" s="317" t="s">
        <v>116</v>
      </c>
      <c r="M52" s="125">
        <f>'Collection Scenario'!K19</f>
        <v>1</v>
      </c>
      <c r="N52" s="57">
        <f>M52*C17</f>
        <v>9000</v>
      </c>
      <c r="O52"/>
      <c r="P52" s="640"/>
      <c r="Q52" s="317" t="s">
        <v>116</v>
      </c>
      <c r="R52" s="125">
        <f>'Collection Scenario'!Q19</f>
        <v>1</v>
      </c>
      <c r="S52" s="57">
        <f>R52*C17</f>
        <v>9000</v>
      </c>
      <c r="T52"/>
      <c r="U52"/>
      <c r="V52"/>
      <c r="W52"/>
      <c r="X52"/>
      <c r="Y52"/>
      <c r="Z52"/>
      <c r="AA52"/>
      <c r="AB52"/>
      <c r="AC52"/>
      <c r="AD52"/>
      <c r="AE52"/>
      <c r="AF52"/>
      <c r="AG52"/>
      <c r="AH52"/>
      <c r="AI52"/>
      <c r="AJ52"/>
      <c r="AK52"/>
      <c r="AL52"/>
      <c r="AM52"/>
      <c r="AN52"/>
      <c r="AO52"/>
      <c r="AP52"/>
      <c r="AQ52" s="11"/>
    </row>
    <row r="53" spans="1:43" ht="14.25" customHeight="1">
      <c r="A53" s="11"/>
      <c r="B53" s="11"/>
      <c r="C53" s="11"/>
      <c r="D53" s="11"/>
      <c r="E53" s="11"/>
      <c r="F53" s="18"/>
      <c r="G53" s="11"/>
      <c r="H53" s="11"/>
      <c r="I53" s="20"/>
      <c r="J53" s="11"/>
      <c r="K53" s="640"/>
      <c r="L53" s="317"/>
      <c r="M53" s="125"/>
      <c r="N53" s="57">
        <f>$C$13*M53</f>
        <v>0</v>
      </c>
      <c r="O53"/>
      <c r="P53" s="640"/>
      <c r="Q53" s="317"/>
      <c r="R53" s="125"/>
      <c r="S53" s="57">
        <f>$C$13*R53</f>
        <v>0</v>
      </c>
      <c r="T53"/>
      <c r="U53"/>
      <c r="V53"/>
      <c r="W53"/>
      <c r="X53"/>
      <c r="Y53"/>
      <c r="Z53"/>
      <c r="AA53"/>
      <c r="AB53"/>
      <c r="AC53"/>
      <c r="AD53"/>
      <c r="AE53"/>
      <c r="AF53"/>
      <c r="AG53"/>
      <c r="AH53"/>
      <c r="AI53"/>
      <c r="AJ53"/>
      <c r="AK53"/>
      <c r="AL53"/>
      <c r="AM53"/>
      <c r="AN53"/>
      <c r="AO53"/>
      <c r="AP53"/>
      <c r="AQ53" s="11"/>
    </row>
    <row r="54" spans="1:43" ht="14.25" customHeight="1">
      <c r="A54" s="11"/>
      <c r="B54" s="11"/>
      <c r="C54" s="11"/>
      <c r="D54" s="11"/>
      <c r="E54" s="11"/>
      <c r="F54" s="18"/>
      <c r="G54" s="11"/>
      <c r="H54" s="11"/>
      <c r="I54" s="20"/>
      <c r="J54" s="11"/>
      <c r="K54" s="640"/>
      <c r="L54" s="317"/>
      <c r="M54" s="125"/>
      <c r="N54" s="57">
        <f>$C$16*M54</f>
        <v>0</v>
      </c>
      <c r="O54"/>
      <c r="P54" s="640"/>
      <c r="Q54" s="317"/>
      <c r="R54" s="125"/>
      <c r="S54" s="57">
        <f>$C$16*R54</f>
        <v>0</v>
      </c>
      <c r="T54"/>
      <c r="U54"/>
      <c r="V54"/>
      <c r="W54"/>
      <c r="X54"/>
      <c r="Y54"/>
      <c r="Z54"/>
      <c r="AA54"/>
      <c r="AB54"/>
      <c r="AC54"/>
      <c r="AD54"/>
      <c r="AE54"/>
      <c r="AF54"/>
      <c r="AG54"/>
      <c r="AH54"/>
      <c r="AI54"/>
      <c r="AJ54"/>
      <c r="AK54"/>
      <c r="AL54"/>
      <c r="AM54"/>
      <c r="AN54"/>
      <c r="AO54"/>
      <c r="AP54"/>
      <c r="AQ54" s="11"/>
    </row>
    <row r="55" spans="1:43" ht="14.25" customHeight="1">
      <c r="A55" s="11"/>
      <c r="B55" s="11"/>
      <c r="C55" s="11"/>
      <c r="D55" s="11"/>
      <c r="E55" s="11"/>
      <c r="F55" s="18"/>
      <c r="G55" s="11"/>
      <c r="H55" s="11"/>
      <c r="I55" s="20"/>
      <c r="J55" s="11"/>
      <c r="K55" s="640"/>
      <c r="L55" s="317"/>
      <c r="M55" s="125"/>
      <c r="N55" s="57"/>
      <c r="O55"/>
      <c r="P55" s="640"/>
      <c r="Q55" s="317"/>
      <c r="R55" s="125"/>
      <c r="S55" s="57"/>
      <c r="T55"/>
      <c r="U55"/>
      <c r="V55"/>
      <c r="W55"/>
      <c r="X55"/>
      <c r="Y55"/>
      <c r="Z55"/>
      <c r="AA55"/>
      <c r="AB55"/>
      <c r="AC55"/>
      <c r="AD55"/>
      <c r="AE55"/>
      <c r="AF55"/>
      <c r="AG55"/>
      <c r="AH55"/>
      <c r="AI55"/>
      <c r="AJ55"/>
      <c r="AK55"/>
      <c r="AL55"/>
      <c r="AM55"/>
      <c r="AN55"/>
      <c r="AO55"/>
      <c r="AP55"/>
      <c r="AQ55" s="11"/>
    </row>
    <row r="56" spans="1:43" ht="18" customHeight="1">
      <c r="A56" s="11"/>
      <c r="B56" s="11"/>
      <c r="C56" s="11"/>
      <c r="D56" s="11"/>
      <c r="E56" s="11"/>
      <c r="F56" s="18"/>
      <c r="G56" s="21"/>
      <c r="H56" s="21"/>
      <c r="I56" s="20"/>
      <c r="J56" s="11"/>
      <c r="K56" s="640"/>
      <c r="L56" s="631" t="s">
        <v>20</v>
      </c>
      <c r="M56" s="631"/>
      <c r="N56" s="59">
        <f>SUM(N51:N55)</f>
        <v>32516</v>
      </c>
      <c r="O56"/>
      <c r="P56" s="640"/>
      <c r="Q56" s="631" t="s">
        <v>20</v>
      </c>
      <c r="R56" s="631"/>
      <c r="S56" s="59">
        <f>SUM(S51:S55)</f>
        <v>32516</v>
      </c>
      <c r="T56"/>
      <c r="U56"/>
      <c r="V56"/>
      <c r="W56"/>
      <c r="X56"/>
      <c r="Y56"/>
      <c r="Z56"/>
      <c r="AA56"/>
      <c r="AB56"/>
      <c r="AC56"/>
      <c r="AD56"/>
      <c r="AE56"/>
      <c r="AF56"/>
      <c r="AG56"/>
      <c r="AH56"/>
      <c r="AI56"/>
      <c r="AJ56"/>
      <c r="AK56"/>
      <c r="AL56"/>
      <c r="AM56"/>
      <c r="AN56"/>
      <c r="AO56"/>
      <c r="AP56"/>
      <c r="AQ56" s="11"/>
    </row>
    <row r="57" spans="1:43" ht="18.75" customHeight="1">
      <c r="A57" s="11"/>
      <c r="B57" s="11"/>
      <c r="C57" s="11"/>
      <c r="D57" s="11"/>
      <c r="E57" s="11"/>
      <c r="F57"/>
      <c r="G57"/>
      <c r="H57"/>
      <c r="I57"/>
      <c r="J57"/>
      <c r="K57" s="641" t="str">
        <f>'Collection Scenario'!I20</f>
        <v>Community H</v>
      </c>
      <c r="L57" s="317" t="s">
        <v>98</v>
      </c>
      <c r="M57" s="125">
        <f>'Collection Scenario'!J20</f>
        <v>1</v>
      </c>
      <c r="N57" s="57">
        <f>$C$11*M57</f>
        <v>23516</v>
      </c>
      <c r="O57"/>
      <c r="P57" s="641" t="str">
        <f>'Collection Scenario'!O20</f>
        <v>Community H</v>
      </c>
      <c r="Q57" s="317" t="s">
        <v>98</v>
      </c>
      <c r="R57" s="125">
        <f>'Collection Scenario'!P20</f>
        <v>1</v>
      </c>
      <c r="S57" s="57">
        <f>$C$11*R57</f>
        <v>23516</v>
      </c>
      <c r="T57"/>
      <c r="U57"/>
      <c r="V57"/>
      <c r="W57"/>
      <c r="X57"/>
      <c r="Y57"/>
      <c r="Z57"/>
      <c r="AA57"/>
      <c r="AB57"/>
      <c r="AC57"/>
      <c r="AD57"/>
      <c r="AE57"/>
      <c r="AF57"/>
      <c r="AG57"/>
      <c r="AH57"/>
      <c r="AI57"/>
      <c r="AJ57"/>
      <c r="AK57"/>
      <c r="AL57"/>
      <c r="AM57"/>
      <c r="AN57"/>
      <c r="AO57"/>
      <c r="AP57"/>
      <c r="AQ57" s="11"/>
    </row>
    <row r="58" spans="1:43" ht="14.25" customHeight="1">
      <c r="A58" s="11"/>
      <c r="B58" s="11"/>
      <c r="C58" s="11"/>
      <c r="D58" s="11"/>
      <c r="E58" s="11"/>
      <c r="F58"/>
      <c r="G58"/>
      <c r="H58"/>
      <c r="I58"/>
      <c r="J58"/>
      <c r="K58" s="641"/>
      <c r="L58" s="317" t="s">
        <v>116</v>
      </c>
      <c r="M58" s="125">
        <f>'Collection Scenario'!K20</f>
        <v>1</v>
      </c>
      <c r="N58" s="57">
        <f>M58*C17</f>
        <v>9000</v>
      </c>
      <c r="O58"/>
      <c r="P58" s="641"/>
      <c r="Q58" s="317" t="s">
        <v>116</v>
      </c>
      <c r="R58" s="125">
        <f>'Collection Scenario'!Q20</f>
        <v>5</v>
      </c>
      <c r="S58" s="57">
        <f>R58*C17</f>
        <v>45000</v>
      </c>
      <c r="T58"/>
      <c r="U58"/>
      <c r="V58"/>
      <c r="W58"/>
      <c r="X58"/>
      <c r="Y58"/>
      <c r="Z58"/>
      <c r="AA58"/>
      <c r="AB58"/>
      <c r="AC58"/>
      <c r="AD58"/>
      <c r="AE58"/>
      <c r="AF58"/>
      <c r="AG58"/>
      <c r="AH58"/>
      <c r="AI58"/>
      <c r="AJ58"/>
      <c r="AK58"/>
      <c r="AL58"/>
      <c r="AM58"/>
      <c r="AN58"/>
      <c r="AO58"/>
      <c r="AP58"/>
      <c r="AQ58" s="11"/>
    </row>
    <row r="59" spans="1:43" ht="17.25" customHeight="1">
      <c r="A59" s="11"/>
      <c r="B59" s="11"/>
      <c r="C59" s="11"/>
      <c r="D59" s="11"/>
      <c r="E59" s="11"/>
      <c r="F59"/>
      <c r="G59"/>
      <c r="H59"/>
      <c r="I59"/>
      <c r="J59"/>
      <c r="K59" s="641"/>
      <c r="L59" s="317"/>
      <c r="M59" s="125"/>
      <c r="N59" s="57">
        <f>$C$13*M59</f>
        <v>0</v>
      </c>
      <c r="O59"/>
      <c r="P59" s="641"/>
      <c r="Q59" s="317"/>
      <c r="R59" s="125"/>
      <c r="S59" s="57">
        <f>$C$13*R59</f>
        <v>0</v>
      </c>
      <c r="T59"/>
      <c r="U59"/>
      <c r="V59"/>
      <c r="W59"/>
      <c r="X59"/>
      <c r="Y59"/>
      <c r="Z59"/>
      <c r="AA59"/>
      <c r="AB59"/>
      <c r="AC59"/>
      <c r="AD59"/>
      <c r="AE59"/>
      <c r="AF59"/>
      <c r="AG59"/>
      <c r="AH59"/>
      <c r="AI59"/>
      <c r="AJ59"/>
      <c r="AK59"/>
      <c r="AL59"/>
      <c r="AM59"/>
      <c r="AN59"/>
      <c r="AO59"/>
      <c r="AP59"/>
      <c r="AQ59" s="11"/>
    </row>
    <row r="60" spans="1:43" ht="14.25" customHeight="1">
      <c r="A60" s="11"/>
      <c r="B60" s="11"/>
      <c r="C60" s="11"/>
      <c r="D60" s="11"/>
      <c r="E60" s="11"/>
      <c r="F60"/>
      <c r="G60"/>
      <c r="H60"/>
      <c r="I60"/>
      <c r="J60"/>
      <c r="K60" s="641"/>
      <c r="L60" s="317"/>
      <c r="M60" s="125"/>
      <c r="N60" s="57">
        <f>$C$16*M60</f>
        <v>0</v>
      </c>
      <c r="O60"/>
      <c r="P60" s="641"/>
      <c r="Q60" s="317"/>
      <c r="R60" s="125"/>
      <c r="S60" s="57">
        <f>$C$16*R60</f>
        <v>0</v>
      </c>
      <c r="T60"/>
      <c r="U60"/>
      <c r="V60"/>
      <c r="W60"/>
      <c r="X60"/>
      <c r="Y60"/>
      <c r="Z60"/>
      <c r="AA60"/>
      <c r="AB60"/>
      <c r="AC60"/>
      <c r="AD60"/>
      <c r="AE60"/>
      <c r="AF60"/>
      <c r="AG60"/>
      <c r="AH60"/>
      <c r="AI60"/>
      <c r="AJ60"/>
      <c r="AK60"/>
      <c r="AL60"/>
      <c r="AM60"/>
      <c r="AN60"/>
      <c r="AO60"/>
      <c r="AP60"/>
      <c r="AQ60" s="11"/>
    </row>
    <row r="61" spans="1:43" ht="14.25" customHeight="1">
      <c r="A61" s="11"/>
      <c r="B61" s="11"/>
      <c r="C61" s="11"/>
      <c r="D61" s="11"/>
      <c r="E61" s="11"/>
      <c r="F61"/>
      <c r="G61"/>
      <c r="H61"/>
      <c r="I61"/>
      <c r="J61"/>
      <c r="K61" s="641"/>
      <c r="L61" s="317"/>
      <c r="M61" s="125"/>
      <c r="N61" s="57"/>
      <c r="O61"/>
      <c r="P61" s="641"/>
      <c r="Q61" s="317"/>
      <c r="R61" s="125"/>
      <c r="S61" s="57"/>
      <c r="T61"/>
      <c r="U61"/>
      <c r="V61"/>
      <c r="W61"/>
      <c r="X61"/>
      <c r="Y61"/>
      <c r="Z61"/>
      <c r="AA61"/>
      <c r="AB61"/>
      <c r="AC61"/>
      <c r="AD61"/>
      <c r="AE61"/>
      <c r="AF61"/>
      <c r="AG61"/>
      <c r="AH61"/>
      <c r="AI61"/>
      <c r="AJ61"/>
      <c r="AK61"/>
      <c r="AL61"/>
      <c r="AM61"/>
      <c r="AN61"/>
      <c r="AO61"/>
      <c r="AP61"/>
      <c r="AQ61" s="11"/>
    </row>
    <row r="62" spans="1:43" ht="14.25" customHeight="1">
      <c r="A62" s="11"/>
      <c r="B62" s="11"/>
      <c r="C62" s="11"/>
      <c r="D62" s="11"/>
      <c r="E62" s="11"/>
      <c r="F62"/>
      <c r="G62"/>
      <c r="H62"/>
      <c r="I62"/>
      <c r="J62"/>
      <c r="K62" s="641"/>
      <c r="L62" s="631" t="s">
        <v>20</v>
      </c>
      <c r="M62" s="631"/>
      <c r="N62" s="59">
        <f>SUM(N57:N61)</f>
        <v>32516</v>
      </c>
      <c r="O62"/>
      <c r="P62" s="641"/>
      <c r="Q62" s="631" t="s">
        <v>20</v>
      </c>
      <c r="R62" s="631"/>
      <c r="S62" s="59">
        <f>SUM(S57:S61)</f>
        <v>68516</v>
      </c>
      <c r="T62"/>
      <c r="U62"/>
      <c r="V62"/>
      <c r="W62"/>
      <c r="X62"/>
      <c r="Y62"/>
      <c r="Z62"/>
      <c r="AA62"/>
      <c r="AB62"/>
      <c r="AC62"/>
      <c r="AD62"/>
      <c r="AE62"/>
      <c r="AF62"/>
      <c r="AG62"/>
      <c r="AH62"/>
      <c r="AI62"/>
      <c r="AJ62"/>
      <c r="AK62"/>
      <c r="AL62"/>
      <c r="AM62"/>
      <c r="AN62"/>
      <c r="AO62"/>
      <c r="AP62"/>
      <c r="AQ62" s="11"/>
    </row>
    <row r="63" spans="1:43" ht="14.25" customHeight="1">
      <c r="A63" s="11"/>
      <c r="B63" s="11"/>
      <c r="C63" s="11"/>
      <c r="D63" s="11"/>
      <c r="E63" s="11"/>
      <c r="F63"/>
      <c r="G63"/>
      <c r="H63"/>
      <c r="I63"/>
      <c r="J63"/>
      <c r="K63" s="384"/>
      <c r="L63" s="317"/>
      <c r="M63" s="317"/>
      <c r="N63" s="466"/>
      <c r="O63"/>
      <c r="P63" s="642" t="str">
        <f>'Collection Scenario'!O21</f>
        <v>Community I</v>
      </c>
      <c r="Q63" s="317" t="s">
        <v>98</v>
      </c>
      <c r="R63" s="125">
        <f>'Collection Scenario'!P21</f>
        <v>1</v>
      </c>
      <c r="S63" s="57">
        <f>$C$11*R63</f>
        <v>23516</v>
      </c>
      <c r="T63"/>
      <c r="U63"/>
      <c r="V63"/>
      <c r="W63"/>
      <c r="X63"/>
      <c r="Y63"/>
      <c r="Z63"/>
      <c r="AA63"/>
      <c r="AB63"/>
      <c r="AC63"/>
      <c r="AD63"/>
      <c r="AE63"/>
      <c r="AF63"/>
      <c r="AG63"/>
      <c r="AH63"/>
      <c r="AI63"/>
      <c r="AJ63"/>
      <c r="AK63"/>
      <c r="AL63"/>
      <c r="AM63"/>
      <c r="AN63"/>
      <c r="AO63"/>
      <c r="AP63"/>
    </row>
    <row r="64" spans="1:43" ht="24.75" customHeight="1">
      <c r="A64" s="11"/>
      <c r="B64" s="11"/>
      <c r="C64" s="11"/>
      <c r="D64" s="11"/>
      <c r="E64" s="11"/>
      <c r="F64"/>
      <c r="G64"/>
      <c r="H64"/>
      <c r="I64"/>
      <c r="J64"/>
      <c r="K64" s="384"/>
      <c r="L64" s="638" t="s">
        <v>119</v>
      </c>
      <c r="M64" s="638"/>
      <c r="N64" s="464">
        <f>N38+N44+N50+N56+N62+N32+N25+N18</f>
        <v>483844</v>
      </c>
      <c r="O64"/>
      <c r="P64" s="642"/>
      <c r="Q64" s="317" t="s">
        <v>116</v>
      </c>
      <c r="R64" s="125">
        <f>'Collection Scenario'!Q21</f>
        <v>5</v>
      </c>
      <c r="S64" s="57">
        <f>R64*C17</f>
        <v>45000</v>
      </c>
      <c r="T64"/>
      <c r="U64"/>
      <c r="V64"/>
      <c r="W64"/>
      <c r="X64"/>
      <c r="Y64"/>
      <c r="Z64"/>
      <c r="AA64"/>
      <c r="AB64"/>
      <c r="AC64"/>
      <c r="AD64"/>
      <c r="AE64"/>
      <c r="AF64"/>
      <c r="AG64"/>
      <c r="AH64"/>
      <c r="AI64"/>
      <c r="AJ64"/>
      <c r="AK64"/>
      <c r="AL64"/>
      <c r="AM64"/>
      <c r="AN64"/>
      <c r="AO64"/>
      <c r="AP64"/>
    </row>
    <row r="65" spans="1:42" ht="14.25" customHeight="1">
      <c r="A65" s="11"/>
      <c r="B65" s="11"/>
      <c r="C65" s="11"/>
      <c r="D65" s="11"/>
      <c r="E65" s="11"/>
      <c r="F65"/>
      <c r="G65"/>
      <c r="H65"/>
      <c r="I65"/>
      <c r="J65"/>
      <c r="K65"/>
      <c r="L65" s="11"/>
      <c r="M65" s="11"/>
      <c r="N65" s="63"/>
      <c r="O65"/>
      <c r="P65" s="642"/>
      <c r="Q65" s="317"/>
      <c r="R65" s="125"/>
      <c r="S65" s="57">
        <f>$C$13*R65</f>
        <v>0</v>
      </c>
      <c r="T65"/>
      <c r="U65"/>
      <c r="V65"/>
      <c r="W65"/>
      <c r="X65"/>
      <c r="Y65"/>
      <c r="Z65"/>
      <c r="AA65"/>
      <c r="AB65"/>
      <c r="AC65"/>
      <c r="AD65"/>
      <c r="AE65"/>
      <c r="AF65"/>
      <c r="AG65"/>
      <c r="AH65"/>
      <c r="AI65"/>
      <c r="AJ65"/>
      <c r="AK65"/>
      <c r="AL65"/>
      <c r="AM65"/>
      <c r="AN65"/>
      <c r="AO65"/>
      <c r="AP65"/>
    </row>
    <row r="66" spans="1:42" ht="15" customHeight="1">
      <c r="A66" s="11"/>
      <c r="B66" s="11"/>
      <c r="C66" s="11"/>
      <c r="D66" s="11"/>
      <c r="E66" s="11"/>
      <c r="F66"/>
      <c r="G66"/>
      <c r="H66"/>
      <c r="I66"/>
      <c r="J66"/>
      <c r="K66"/>
      <c r="L66" s="11"/>
      <c r="M66" s="11"/>
      <c r="N66" s="63"/>
      <c r="O66"/>
      <c r="P66" s="642"/>
      <c r="Q66" s="317"/>
      <c r="R66" s="125"/>
      <c r="S66" s="57">
        <f>$C$16*R66</f>
        <v>0</v>
      </c>
      <c r="T66"/>
      <c r="U66"/>
      <c r="V66"/>
      <c r="W66"/>
      <c r="X66"/>
      <c r="Y66"/>
      <c r="Z66"/>
      <c r="AA66"/>
      <c r="AB66"/>
      <c r="AC66"/>
      <c r="AD66"/>
      <c r="AE66"/>
      <c r="AF66"/>
      <c r="AG66"/>
      <c r="AH66"/>
      <c r="AI66"/>
      <c r="AJ66"/>
      <c r="AK66"/>
      <c r="AL66"/>
      <c r="AM66"/>
      <c r="AN66"/>
      <c r="AO66"/>
      <c r="AP66"/>
    </row>
    <row r="67" spans="1:42" ht="14.25" customHeight="1">
      <c r="A67" s="11"/>
      <c r="B67" s="11"/>
      <c r="C67" s="11"/>
      <c r="D67" s="11"/>
      <c r="E67" s="11"/>
      <c r="F67"/>
      <c r="G67"/>
      <c r="H67"/>
      <c r="I67"/>
      <c r="J67"/>
      <c r="K67"/>
      <c r="L67" s="11"/>
      <c r="M67" s="11"/>
      <c r="N67" s="63"/>
      <c r="O67"/>
      <c r="P67" s="642"/>
      <c r="Q67" s="317"/>
      <c r="R67" s="125"/>
      <c r="S67" s="57"/>
      <c r="T67"/>
      <c r="U67"/>
      <c r="V67"/>
      <c r="W67"/>
      <c r="X67"/>
      <c r="Y67"/>
      <c r="Z67"/>
      <c r="AA67"/>
      <c r="AB67"/>
      <c r="AC67"/>
      <c r="AD67"/>
      <c r="AE67"/>
      <c r="AF67"/>
      <c r="AG67"/>
      <c r="AH67"/>
      <c r="AI67"/>
      <c r="AJ67"/>
      <c r="AK67"/>
      <c r="AL67"/>
      <c r="AM67"/>
      <c r="AN67"/>
      <c r="AO67"/>
      <c r="AP67"/>
    </row>
    <row r="68" spans="1:42" ht="14.25" customHeight="1">
      <c r="A68" s="11"/>
      <c r="B68" s="11"/>
      <c r="C68" s="11"/>
      <c r="D68" s="11"/>
      <c r="E68" s="11"/>
      <c r="F68"/>
      <c r="G68"/>
      <c r="H68"/>
      <c r="I68"/>
      <c r="J68"/>
      <c r="K68"/>
      <c r="L68" s="11"/>
      <c r="M68" s="11"/>
      <c r="N68" s="63"/>
      <c r="O68"/>
      <c r="P68" s="642"/>
      <c r="Q68" s="631" t="s">
        <v>20</v>
      </c>
      <c r="R68" s="631"/>
      <c r="S68" s="59">
        <f>SUM(S63:S67)</f>
        <v>68516</v>
      </c>
      <c r="T68"/>
      <c r="U68"/>
      <c r="V68"/>
      <c r="W68"/>
      <c r="X68"/>
      <c r="Y68"/>
      <c r="Z68"/>
      <c r="AA68"/>
      <c r="AB68"/>
      <c r="AC68"/>
      <c r="AD68"/>
      <c r="AE68"/>
      <c r="AF68"/>
      <c r="AG68"/>
      <c r="AH68"/>
      <c r="AI68"/>
      <c r="AJ68"/>
      <c r="AK68"/>
      <c r="AL68"/>
      <c r="AM68"/>
      <c r="AN68"/>
      <c r="AO68"/>
      <c r="AP68"/>
    </row>
    <row r="69" spans="1:42" ht="14.25" customHeight="1">
      <c r="A69" s="11"/>
      <c r="B69" s="11"/>
      <c r="C69" s="11"/>
      <c r="D69" s="11"/>
      <c r="E69" s="11"/>
      <c r="F69"/>
      <c r="G69"/>
      <c r="H69"/>
      <c r="I69"/>
      <c r="J69"/>
      <c r="K69"/>
      <c r="L69" s="11"/>
      <c r="M69" s="11"/>
      <c r="N69" s="63"/>
      <c r="O69"/>
      <c r="P69" s="643" t="str">
        <f>'Collection Scenario'!O22</f>
        <v>Community J</v>
      </c>
      <c r="Q69" s="317" t="s">
        <v>98</v>
      </c>
      <c r="R69" s="125">
        <f>'Collection Scenario'!P22</f>
        <v>1</v>
      </c>
      <c r="S69" s="57">
        <f>$C$11*R69</f>
        <v>23516</v>
      </c>
      <c r="T69"/>
      <c r="U69"/>
      <c r="V69"/>
      <c r="W69"/>
      <c r="X69"/>
      <c r="Y69"/>
      <c r="Z69"/>
      <c r="AA69"/>
      <c r="AB69"/>
      <c r="AC69"/>
      <c r="AD69"/>
      <c r="AE69"/>
      <c r="AF69"/>
      <c r="AG69"/>
      <c r="AH69"/>
      <c r="AI69"/>
      <c r="AJ69"/>
      <c r="AK69"/>
      <c r="AL69"/>
      <c r="AM69"/>
      <c r="AN69"/>
      <c r="AO69"/>
      <c r="AP69"/>
    </row>
    <row r="70" spans="1:42" ht="14.25" customHeight="1">
      <c r="A70" s="11"/>
      <c r="B70" s="49"/>
      <c r="C70" s="11"/>
      <c r="D70" s="11"/>
      <c r="E70" s="11"/>
      <c r="F70"/>
      <c r="G70"/>
      <c r="H70"/>
      <c r="I70"/>
      <c r="J70"/>
      <c r="K70"/>
      <c r="L70" s="11"/>
      <c r="M70" s="11"/>
      <c r="N70" s="63"/>
      <c r="O70"/>
      <c r="P70" s="643"/>
      <c r="Q70" s="317" t="s">
        <v>116</v>
      </c>
      <c r="R70" s="125">
        <f>'Collection Scenario'!Q22</f>
        <v>5</v>
      </c>
      <c r="S70" s="57">
        <f>R70*C17</f>
        <v>45000</v>
      </c>
      <c r="T70"/>
      <c r="U70"/>
      <c r="V70"/>
      <c r="W70"/>
      <c r="X70"/>
      <c r="Y70"/>
      <c r="Z70"/>
      <c r="AA70"/>
      <c r="AB70"/>
      <c r="AC70"/>
      <c r="AD70"/>
      <c r="AE70"/>
      <c r="AF70"/>
      <c r="AG70"/>
      <c r="AH70"/>
      <c r="AI70"/>
      <c r="AJ70"/>
      <c r="AK70"/>
      <c r="AL70"/>
      <c r="AM70"/>
      <c r="AN70"/>
      <c r="AO70"/>
      <c r="AP70"/>
    </row>
    <row r="71" spans="1:42" ht="15" customHeight="1">
      <c r="A71" s="11"/>
      <c r="B71" s="49"/>
      <c r="C71" s="11"/>
      <c r="D71" s="11"/>
      <c r="E71" s="11"/>
      <c r="F71"/>
      <c r="G71"/>
      <c r="H71"/>
      <c r="I71"/>
      <c r="J71"/>
      <c r="K71"/>
      <c r="L71" s="11"/>
      <c r="M71" s="11"/>
      <c r="N71" s="60"/>
      <c r="O71"/>
      <c r="P71" s="643"/>
      <c r="Q71" s="317"/>
      <c r="R71" s="125"/>
      <c r="S71" s="57">
        <f>$C$13*R71</f>
        <v>0</v>
      </c>
      <c r="T71"/>
      <c r="U71"/>
      <c r="V71"/>
      <c r="W71"/>
      <c r="X71"/>
      <c r="Y71"/>
      <c r="Z71"/>
      <c r="AA71"/>
      <c r="AB71"/>
      <c r="AC71"/>
      <c r="AD71"/>
      <c r="AE71"/>
      <c r="AF71"/>
      <c r="AG71"/>
      <c r="AH71"/>
      <c r="AI71"/>
      <c r="AJ71"/>
      <c r="AK71"/>
      <c r="AL71"/>
      <c r="AM71"/>
      <c r="AN71"/>
      <c r="AO71"/>
      <c r="AP71"/>
    </row>
    <row r="72" spans="1:42" ht="14.25" customHeight="1">
      <c r="A72" s="11"/>
      <c r="B72" s="49"/>
      <c r="C72" s="11"/>
      <c r="D72" s="11"/>
      <c r="E72" s="11"/>
      <c r="F72"/>
      <c r="G72"/>
      <c r="H72"/>
      <c r="I72"/>
      <c r="J72"/>
      <c r="K72"/>
      <c r="L72" s="11"/>
      <c r="M72" s="11"/>
      <c r="N72" s="60"/>
      <c r="O72"/>
      <c r="P72" s="643"/>
      <c r="Q72" s="317"/>
      <c r="R72" s="125"/>
      <c r="S72" s="57">
        <f>$C$16*R72</f>
        <v>0</v>
      </c>
      <c r="T72"/>
      <c r="U72"/>
      <c r="V72"/>
      <c r="W72"/>
      <c r="X72"/>
      <c r="Y72"/>
      <c r="Z72"/>
      <c r="AA72"/>
      <c r="AB72"/>
      <c r="AC72"/>
      <c r="AD72"/>
      <c r="AE72"/>
      <c r="AF72"/>
      <c r="AG72"/>
      <c r="AH72"/>
      <c r="AI72"/>
      <c r="AJ72"/>
      <c r="AK72"/>
      <c r="AL72"/>
      <c r="AM72"/>
      <c r="AN72"/>
      <c r="AO72"/>
      <c r="AP72"/>
    </row>
    <row r="73" spans="1:42" ht="14.25" customHeight="1">
      <c r="A73" s="11"/>
      <c r="B73" s="49"/>
      <c r="C73" s="11"/>
      <c r="D73" s="11"/>
      <c r="E73" s="11"/>
      <c r="F73"/>
      <c r="G73"/>
      <c r="H73"/>
      <c r="I73"/>
      <c r="J73"/>
      <c r="K73"/>
      <c r="L73" s="634"/>
      <c r="M73" s="634"/>
      <c r="N73" s="60"/>
      <c r="O73"/>
      <c r="P73" s="643"/>
      <c r="Q73" s="317"/>
      <c r="R73" s="125"/>
      <c r="S73" s="57"/>
      <c r="T73"/>
      <c r="U73"/>
      <c r="V73"/>
      <c r="W73"/>
      <c r="X73"/>
      <c r="Y73"/>
      <c r="Z73"/>
      <c r="AA73"/>
      <c r="AB73"/>
      <c r="AC73"/>
      <c r="AD73"/>
      <c r="AE73"/>
      <c r="AF73"/>
      <c r="AG73"/>
      <c r="AH73"/>
      <c r="AI73"/>
      <c r="AJ73"/>
      <c r="AK73"/>
      <c r="AL73"/>
      <c r="AM73"/>
      <c r="AN73"/>
      <c r="AO73"/>
      <c r="AP73"/>
    </row>
    <row r="74" spans="1:42" ht="14.25" customHeight="1">
      <c r="A74" s="11"/>
      <c r="B74" s="49"/>
      <c r="C74" s="11"/>
      <c r="D74" s="11"/>
      <c r="E74" s="11"/>
      <c r="F74"/>
      <c r="G74"/>
      <c r="H74"/>
      <c r="I74"/>
      <c r="J74"/>
      <c r="K74"/>
      <c r="L74" s="11"/>
      <c r="M74" s="11"/>
      <c r="N74" s="60"/>
      <c r="O74"/>
      <c r="P74" s="643"/>
      <c r="Q74" s="631" t="s">
        <v>20</v>
      </c>
      <c r="R74" s="631"/>
      <c r="S74" s="59">
        <f>SUM(S69:S73)</f>
        <v>68516</v>
      </c>
      <c r="T74"/>
      <c r="U74"/>
      <c r="V74"/>
      <c r="W74"/>
      <c r="X74"/>
      <c r="Y74"/>
      <c r="Z74"/>
      <c r="AA74"/>
      <c r="AB74"/>
      <c r="AC74"/>
      <c r="AD74"/>
      <c r="AE74"/>
      <c r="AF74"/>
      <c r="AG74"/>
      <c r="AH74"/>
      <c r="AI74"/>
      <c r="AJ74"/>
      <c r="AK74"/>
      <c r="AL74"/>
      <c r="AM74"/>
      <c r="AN74"/>
      <c r="AO74"/>
      <c r="AP74"/>
    </row>
    <row r="75" spans="1:42" ht="14.25" customHeight="1">
      <c r="A75" s="11"/>
      <c r="B75" s="49"/>
      <c r="C75" s="11"/>
      <c r="D75" s="11"/>
      <c r="E75" s="11"/>
      <c r="F75"/>
      <c r="G75"/>
      <c r="H75"/>
      <c r="I75"/>
      <c r="J75"/>
      <c r="K75"/>
      <c r="L75" s="11"/>
      <c r="M75" s="11"/>
      <c r="N75" s="60"/>
      <c r="O75"/>
      <c r="P75" s="644" t="str">
        <f>'Collection Scenario'!O23</f>
        <v>Community K</v>
      </c>
      <c r="Q75" s="317" t="s">
        <v>98</v>
      </c>
      <c r="R75" s="125">
        <f>'Collection Scenario'!P23</f>
        <v>1</v>
      </c>
      <c r="S75" s="57">
        <f>$C$11*R75</f>
        <v>23516</v>
      </c>
      <c r="T75"/>
      <c r="U75"/>
      <c r="V75"/>
      <c r="W75"/>
      <c r="X75"/>
      <c r="Y75"/>
      <c r="Z75"/>
      <c r="AA75"/>
      <c r="AB75"/>
      <c r="AC75"/>
      <c r="AD75"/>
      <c r="AE75"/>
      <c r="AF75"/>
      <c r="AG75"/>
      <c r="AH75"/>
      <c r="AI75"/>
      <c r="AJ75"/>
      <c r="AK75"/>
      <c r="AL75"/>
      <c r="AM75"/>
      <c r="AN75"/>
      <c r="AO75"/>
      <c r="AP75"/>
    </row>
    <row r="76" spans="1:42" ht="14.25" customHeight="1">
      <c r="A76" s="11"/>
      <c r="B76" s="11"/>
      <c r="C76" s="11"/>
      <c r="D76" s="11"/>
      <c r="E76" s="11"/>
      <c r="F76"/>
      <c r="G76"/>
      <c r="H76"/>
      <c r="I76"/>
      <c r="J76"/>
      <c r="K76"/>
      <c r="L76" s="11"/>
      <c r="M76" s="11"/>
      <c r="N76" s="60"/>
      <c r="O76"/>
      <c r="P76" s="644"/>
      <c r="Q76" s="317" t="s">
        <v>116</v>
      </c>
      <c r="R76" s="125">
        <f>'Collection Scenario'!Q23</f>
        <v>5</v>
      </c>
      <c r="S76" s="57">
        <f>R76*C17</f>
        <v>45000</v>
      </c>
      <c r="T76"/>
      <c r="U76"/>
      <c r="V76"/>
      <c r="W76"/>
      <c r="X76"/>
      <c r="Y76"/>
      <c r="Z76"/>
      <c r="AA76"/>
      <c r="AB76"/>
      <c r="AC76"/>
      <c r="AD76"/>
      <c r="AE76"/>
      <c r="AF76"/>
      <c r="AG76"/>
      <c r="AH76"/>
      <c r="AI76"/>
      <c r="AJ76"/>
      <c r="AK76"/>
      <c r="AL76"/>
      <c r="AM76"/>
      <c r="AN76"/>
      <c r="AO76"/>
      <c r="AP76"/>
    </row>
    <row r="77" spans="1:42" ht="14.25" customHeight="1">
      <c r="A77" s="11"/>
      <c r="B77" s="49"/>
      <c r="C77" s="11"/>
      <c r="D77" s="11"/>
      <c r="E77" s="11"/>
      <c r="F77"/>
      <c r="G77"/>
      <c r="H77"/>
      <c r="I77"/>
      <c r="J77"/>
      <c r="K77"/>
      <c r="L77" s="11"/>
      <c r="M77" s="11"/>
      <c r="N77" s="60"/>
      <c r="O77"/>
      <c r="P77" s="644"/>
      <c r="Q77" s="317"/>
      <c r="R77" s="125"/>
      <c r="S77" s="57">
        <f>$C$13*R77</f>
        <v>0</v>
      </c>
      <c r="T77"/>
      <c r="U77"/>
      <c r="V77"/>
      <c r="W77"/>
      <c r="X77"/>
      <c r="Y77"/>
      <c r="Z77"/>
      <c r="AA77"/>
      <c r="AB77"/>
      <c r="AC77"/>
      <c r="AD77"/>
      <c r="AE77"/>
      <c r="AF77"/>
      <c r="AG77"/>
      <c r="AH77"/>
      <c r="AI77"/>
      <c r="AJ77"/>
      <c r="AK77"/>
      <c r="AL77"/>
      <c r="AM77"/>
      <c r="AN77"/>
      <c r="AO77"/>
      <c r="AP77"/>
    </row>
    <row r="78" spans="1:42" ht="16.5">
      <c r="A78" s="11"/>
      <c r="B78" s="49"/>
      <c r="C78" s="11"/>
      <c r="D78" s="11"/>
      <c r="E78" s="11"/>
      <c r="F78"/>
      <c r="G78"/>
      <c r="H78"/>
      <c r="I78"/>
      <c r="J78"/>
      <c r="K78"/>
      <c r="L78" s="11"/>
      <c r="M78" s="11"/>
      <c r="N78" s="60"/>
      <c r="O78"/>
      <c r="P78" s="644"/>
      <c r="Q78" s="317"/>
      <c r="R78" s="125"/>
      <c r="S78" s="57">
        <f>$C$16*R78</f>
        <v>0</v>
      </c>
      <c r="T78"/>
      <c r="U78"/>
      <c r="V78"/>
      <c r="W78"/>
      <c r="X78"/>
      <c r="Y78"/>
      <c r="Z78"/>
      <c r="AA78"/>
      <c r="AB78"/>
      <c r="AC78"/>
      <c r="AD78"/>
      <c r="AE78"/>
      <c r="AF78"/>
      <c r="AG78"/>
      <c r="AH78"/>
      <c r="AI78"/>
      <c r="AJ78"/>
      <c r="AK78"/>
      <c r="AL78"/>
      <c r="AM78"/>
      <c r="AN78"/>
      <c r="AO78"/>
      <c r="AP78"/>
    </row>
    <row r="79" spans="1:42" ht="16.5">
      <c r="A79" s="11"/>
      <c r="B79" s="49"/>
      <c r="C79" s="11"/>
      <c r="D79" s="11"/>
      <c r="E79" s="11"/>
      <c r="F79"/>
      <c r="G79"/>
      <c r="H79"/>
      <c r="I79"/>
      <c r="J79"/>
      <c r="K79"/>
      <c r="L79" s="11"/>
      <c r="M79" s="11"/>
      <c r="N79" s="63"/>
      <c r="O79"/>
      <c r="P79" s="644"/>
      <c r="Q79" s="317"/>
      <c r="R79" s="125"/>
      <c r="S79" s="57"/>
      <c r="T79"/>
      <c r="U79"/>
      <c r="V79"/>
      <c r="W79"/>
      <c r="X79"/>
      <c r="Y79"/>
      <c r="Z79"/>
      <c r="AA79"/>
      <c r="AB79"/>
      <c r="AC79"/>
      <c r="AD79"/>
      <c r="AE79"/>
      <c r="AF79"/>
      <c r="AG79"/>
      <c r="AH79"/>
      <c r="AI79"/>
      <c r="AJ79"/>
      <c r="AK79"/>
      <c r="AL79"/>
      <c r="AM79"/>
      <c r="AN79"/>
      <c r="AO79"/>
      <c r="AP79"/>
    </row>
    <row r="80" spans="1:42" ht="16.5">
      <c r="A80" s="11"/>
      <c r="B80" s="49"/>
      <c r="C80" s="11"/>
      <c r="D80" s="11"/>
      <c r="E80" s="11"/>
      <c r="F80"/>
      <c r="G80"/>
      <c r="H80"/>
      <c r="I80"/>
      <c r="J80"/>
      <c r="K80"/>
      <c r="L80" s="11"/>
      <c r="M80" s="11"/>
      <c r="N80" s="63"/>
      <c r="O80"/>
      <c r="P80" s="644"/>
      <c r="Q80" s="631" t="s">
        <v>20</v>
      </c>
      <c r="R80" s="631"/>
      <c r="S80" s="59">
        <f>SUM(S75:S79)</f>
        <v>68516</v>
      </c>
      <c r="T80"/>
      <c r="U80"/>
      <c r="V80"/>
      <c r="W80"/>
      <c r="X80"/>
      <c r="Y80"/>
      <c r="Z80"/>
      <c r="AA80"/>
      <c r="AB80"/>
      <c r="AC80"/>
      <c r="AD80"/>
      <c r="AE80"/>
      <c r="AF80"/>
      <c r="AG80"/>
      <c r="AH80"/>
      <c r="AI80"/>
      <c r="AJ80"/>
      <c r="AK80"/>
      <c r="AL80"/>
      <c r="AM80"/>
      <c r="AN80"/>
      <c r="AO80"/>
      <c r="AP80"/>
    </row>
    <row r="81" spans="1:42" ht="14.25" customHeight="1">
      <c r="A81" s="11"/>
      <c r="B81" s="47"/>
      <c r="C81" s="11"/>
      <c r="D81" s="11"/>
      <c r="E81" s="11"/>
      <c r="F81"/>
      <c r="G81"/>
      <c r="H81"/>
      <c r="I81"/>
      <c r="J81"/>
      <c r="K81"/>
      <c r="L81" s="11"/>
      <c r="M81" s="11"/>
      <c r="N81" s="63"/>
      <c r="O81"/>
      <c r="P81" s="384"/>
      <c r="Q81" s="384"/>
      <c r="R81" s="384"/>
      <c r="S81" s="463"/>
      <c r="T81"/>
      <c r="U81"/>
      <c r="V81"/>
      <c r="W81"/>
      <c r="X81"/>
      <c r="Y81"/>
      <c r="Z81"/>
      <c r="AA81"/>
      <c r="AB81"/>
      <c r="AC81"/>
      <c r="AD81"/>
      <c r="AE81"/>
      <c r="AF81"/>
      <c r="AG81"/>
      <c r="AH81"/>
      <c r="AI81"/>
      <c r="AJ81"/>
      <c r="AK81"/>
      <c r="AL81"/>
      <c r="AM81"/>
      <c r="AN81"/>
      <c r="AO81"/>
      <c r="AP81"/>
    </row>
    <row r="82" spans="1:42" ht="23.25" customHeight="1">
      <c r="A82" s="11"/>
      <c r="B82"/>
      <c r="C82" s="11"/>
      <c r="D82" s="11"/>
      <c r="E82" s="11"/>
      <c r="F82"/>
      <c r="G82"/>
      <c r="H82"/>
      <c r="I82"/>
      <c r="J82"/>
      <c r="K82"/>
      <c r="L82" s="11"/>
      <c r="M82" s="11"/>
      <c r="N82" s="63"/>
      <c r="O82"/>
      <c r="P82" s="384"/>
      <c r="Q82" s="638" t="s">
        <v>119</v>
      </c>
      <c r="R82" s="638"/>
      <c r="S82" s="464">
        <f>S56+S62+S68+S74+S80+S50+S44+S38+S32+S25+S18</f>
        <v>725392</v>
      </c>
      <c r="T82"/>
      <c r="U82"/>
      <c r="V82"/>
      <c r="W82"/>
      <c r="X82"/>
      <c r="Y82"/>
      <c r="Z82"/>
      <c r="AA82"/>
      <c r="AB82"/>
      <c r="AC82"/>
      <c r="AD82"/>
      <c r="AE82"/>
      <c r="AF82"/>
      <c r="AG82"/>
      <c r="AH82"/>
      <c r="AI82"/>
      <c r="AJ82"/>
      <c r="AK82"/>
      <c r="AL82"/>
      <c r="AM82"/>
      <c r="AN82"/>
      <c r="AO82"/>
      <c r="AP82"/>
    </row>
    <row r="83" spans="1:42" ht="14.25" customHeight="1">
      <c r="A83" s="11"/>
      <c r="B83"/>
      <c r="C83" s="11"/>
      <c r="D83" s="11"/>
      <c r="E83" s="11"/>
      <c r="F83"/>
      <c r="G83"/>
      <c r="H83"/>
      <c r="I83"/>
      <c r="J83"/>
      <c r="K83"/>
      <c r="L83" s="11"/>
      <c r="M83" s="11"/>
      <c r="N83" s="63"/>
      <c r="O83"/>
      <c r="P83"/>
      <c r="Q83"/>
      <c r="R83"/>
      <c r="S83" s="60"/>
      <c r="T83"/>
      <c r="U83"/>
      <c r="V83"/>
      <c r="W83"/>
      <c r="X83"/>
      <c r="Y83"/>
      <c r="Z83"/>
      <c r="AA83"/>
      <c r="AB83"/>
      <c r="AC83"/>
      <c r="AD83"/>
      <c r="AE83"/>
      <c r="AF83"/>
      <c r="AG83"/>
      <c r="AH83"/>
      <c r="AI83"/>
      <c r="AJ83"/>
      <c r="AK83"/>
      <c r="AL83"/>
      <c r="AM83"/>
      <c r="AN83"/>
      <c r="AO83"/>
      <c r="AP83"/>
    </row>
    <row r="84" spans="1:42" ht="14.25" customHeight="1">
      <c r="A84" s="11"/>
      <c r="B84"/>
      <c r="C84" s="11"/>
      <c r="D84" s="11"/>
      <c r="E84" s="11"/>
      <c r="F84"/>
      <c r="G84"/>
      <c r="H84"/>
      <c r="I84"/>
      <c r="J84"/>
      <c r="K84"/>
      <c r="L84" s="11"/>
      <c r="M84" s="11"/>
      <c r="N84" s="63"/>
      <c r="O84"/>
      <c r="P84"/>
      <c r="Q84"/>
      <c r="R84"/>
      <c r="S84" s="58"/>
      <c r="T84"/>
      <c r="U84"/>
      <c r="V84"/>
      <c r="W84"/>
      <c r="X84"/>
      <c r="Y84"/>
      <c r="Z84"/>
      <c r="AA84"/>
      <c r="AB84"/>
      <c r="AC84"/>
      <c r="AD84"/>
      <c r="AE84"/>
      <c r="AF84"/>
      <c r="AG84"/>
      <c r="AH84"/>
      <c r="AI84"/>
      <c r="AJ84"/>
      <c r="AK84"/>
      <c r="AL84"/>
      <c r="AM84"/>
      <c r="AN84"/>
      <c r="AO84"/>
      <c r="AP84"/>
    </row>
    <row r="85" spans="1:42" ht="14.25" customHeight="1">
      <c r="A85" s="11"/>
      <c r="B85" s="47"/>
      <c r="C85" s="11"/>
      <c r="D85" s="11"/>
      <c r="E85" s="11"/>
      <c r="F85"/>
      <c r="G85"/>
      <c r="H85"/>
      <c r="I85"/>
      <c r="J85"/>
      <c r="K85"/>
      <c r="L85" s="11"/>
      <c r="M85" s="11"/>
      <c r="N85" s="63"/>
      <c r="O85"/>
      <c r="P85"/>
      <c r="Q85"/>
      <c r="R85"/>
      <c r="S85" s="58"/>
      <c r="T85"/>
      <c r="U85"/>
      <c r="V85"/>
      <c r="W85"/>
      <c r="X85"/>
      <c r="Y85"/>
      <c r="Z85"/>
      <c r="AA85"/>
      <c r="AB85"/>
      <c r="AC85"/>
      <c r="AD85"/>
      <c r="AE85"/>
      <c r="AF85"/>
      <c r="AG85"/>
      <c r="AH85"/>
      <c r="AI85"/>
      <c r="AJ85"/>
      <c r="AK85"/>
      <c r="AL85"/>
      <c r="AM85"/>
      <c r="AN85"/>
      <c r="AO85"/>
      <c r="AP85"/>
    </row>
    <row r="86" spans="1:42" ht="14.25" customHeight="1">
      <c r="A86" s="11"/>
      <c r="B86" s="47"/>
      <c r="C86" s="11"/>
      <c r="D86" s="11"/>
      <c r="E86" s="11"/>
      <c r="F86"/>
      <c r="G86"/>
      <c r="H86"/>
      <c r="I86"/>
      <c r="J86"/>
      <c r="K86"/>
      <c r="L86" s="11"/>
      <c r="M86" s="11"/>
      <c r="N86" s="63"/>
      <c r="O86"/>
      <c r="P86"/>
      <c r="Q86"/>
      <c r="R86"/>
      <c r="S86" s="58"/>
      <c r="T86"/>
      <c r="U86"/>
      <c r="V86"/>
      <c r="W86"/>
      <c r="X86"/>
      <c r="Y86"/>
      <c r="Z86"/>
      <c r="AA86"/>
      <c r="AB86"/>
      <c r="AC86"/>
      <c r="AD86"/>
      <c r="AE86"/>
      <c r="AF86"/>
      <c r="AG86"/>
      <c r="AH86"/>
      <c r="AI86"/>
      <c r="AJ86"/>
      <c r="AK86"/>
      <c r="AL86"/>
      <c r="AM86"/>
      <c r="AN86"/>
      <c r="AO86"/>
      <c r="AP86"/>
    </row>
    <row r="87" spans="1:42" ht="14.25" customHeight="1">
      <c r="A87" s="11"/>
      <c r="B87" s="47"/>
      <c r="C87" s="11"/>
      <c r="D87" s="11"/>
      <c r="E87" s="11"/>
      <c r="F87"/>
      <c r="G87"/>
      <c r="H87"/>
      <c r="I87"/>
      <c r="J87"/>
      <c r="K87"/>
      <c r="L87" s="11"/>
      <c r="M87" s="11"/>
      <c r="N87" s="63"/>
      <c r="O87"/>
      <c r="P87"/>
      <c r="Q87"/>
      <c r="R87"/>
      <c r="S87" s="58"/>
      <c r="T87"/>
      <c r="U87"/>
      <c r="V87"/>
      <c r="W87"/>
      <c r="X87"/>
      <c r="Y87"/>
      <c r="Z87"/>
      <c r="AA87"/>
      <c r="AB87"/>
      <c r="AC87"/>
      <c r="AD87"/>
      <c r="AE87"/>
      <c r="AF87"/>
      <c r="AG87"/>
      <c r="AH87"/>
      <c r="AI87"/>
      <c r="AJ87"/>
      <c r="AK87"/>
      <c r="AL87"/>
      <c r="AM87"/>
      <c r="AN87"/>
      <c r="AO87"/>
      <c r="AP87"/>
    </row>
    <row r="88" spans="1:42" ht="14.25" customHeight="1">
      <c r="A88" s="11"/>
      <c r="B88" s="47"/>
      <c r="C88" s="11"/>
      <c r="D88" s="11"/>
      <c r="E88" s="11"/>
      <c r="F88"/>
      <c r="G88"/>
      <c r="H88"/>
      <c r="I88"/>
      <c r="J88"/>
      <c r="K88"/>
      <c r="L88" s="11"/>
      <c r="M88" s="11"/>
      <c r="N88" s="63"/>
      <c r="O88"/>
      <c r="P88"/>
      <c r="Q88"/>
      <c r="R88"/>
      <c r="S88" s="58"/>
      <c r="T88"/>
      <c r="U88"/>
      <c r="V88"/>
      <c r="W88"/>
      <c r="X88"/>
      <c r="Y88"/>
      <c r="Z88"/>
      <c r="AA88"/>
      <c r="AB88"/>
      <c r="AC88"/>
      <c r="AD88"/>
      <c r="AE88"/>
      <c r="AF88"/>
      <c r="AG88"/>
      <c r="AH88"/>
      <c r="AI88"/>
      <c r="AJ88"/>
      <c r="AK88"/>
      <c r="AL88"/>
      <c r="AM88"/>
      <c r="AN88"/>
      <c r="AO88"/>
      <c r="AP88"/>
    </row>
    <row r="89" spans="1:42" ht="14.25" customHeight="1">
      <c r="A89" s="11"/>
      <c r="B89"/>
      <c r="C89" s="11"/>
      <c r="D89" s="11"/>
      <c r="E89" s="11"/>
      <c r="F89"/>
      <c r="G89"/>
      <c r="H89"/>
      <c r="I89"/>
      <c r="J89"/>
      <c r="K89"/>
      <c r="L89" s="11"/>
      <c r="M89" s="11"/>
      <c r="N89" s="63"/>
      <c r="O89"/>
      <c r="P89"/>
      <c r="Q89"/>
      <c r="R89"/>
      <c r="S89" s="58"/>
      <c r="T89"/>
      <c r="U89"/>
      <c r="V89"/>
      <c r="W89"/>
      <c r="X89"/>
      <c r="Y89"/>
      <c r="Z89"/>
      <c r="AA89"/>
      <c r="AB89"/>
      <c r="AC89"/>
      <c r="AD89"/>
      <c r="AE89"/>
      <c r="AF89"/>
      <c r="AG89"/>
      <c r="AH89"/>
      <c r="AI89"/>
      <c r="AJ89"/>
      <c r="AK89"/>
      <c r="AL89"/>
      <c r="AM89"/>
      <c r="AN89"/>
      <c r="AO89"/>
      <c r="AP89"/>
    </row>
    <row r="90" spans="1:42" ht="14.25" customHeight="1">
      <c r="A90" s="11"/>
      <c r="B90" s="47"/>
      <c r="C90" s="11"/>
      <c r="D90" s="11"/>
      <c r="E90" s="11"/>
      <c r="F90"/>
      <c r="G90"/>
      <c r="H90"/>
      <c r="I90"/>
      <c r="J90"/>
      <c r="K90"/>
      <c r="L90" s="11"/>
      <c r="M90" s="11"/>
      <c r="N90" s="63"/>
      <c r="O90"/>
      <c r="P90"/>
      <c r="Q90"/>
      <c r="R90"/>
      <c r="S90" s="58"/>
      <c r="T90"/>
      <c r="U90"/>
      <c r="V90"/>
      <c r="W90"/>
      <c r="X90"/>
      <c r="Y90"/>
      <c r="Z90"/>
      <c r="AA90"/>
      <c r="AB90"/>
      <c r="AC90"/>
      <c r="AD90"/>
      <c r="AE90"/>
      <c r="AF90"/>
      <c r="AG90"/>
      <c r="AH90"/>
      <c r="AI90"/>
      <c r="AJ90"/>
      <c r="AK90"/>
      <c r="AL90"/>
      <c r="AM90"/>
      <c r="AN90"/>
      <c r="AO90"/>
      <c r="AP90"/>
    </row>
    <row r="91" spans="1:42" ht="14.25" customHeight="1">
      <c r="A91" s="11"/>
      <c r="B91" s="47"/>
      <c r="C91" s="11"/>
      <c r="D91" s="11"/>
      <c r="E91" s="11"/>
      <c r="F91"/>
      <c r="G91"/>
      <c r="H91"/>
      <c r="I91"/>
      <c r="J91"/>
      <c r="K91"/>
      <c r="L91" s="11"/>
      <c r="M91" s="11"/>
      <c r="N91" s="63"/>
      <c r="O91"/>
      <c r="P91"/>
      <c r="Q91"/>
      <c r="R91"/>
      <c r="S91" s="58"/>
      <c r="T91"/>
      <c r="U91"/>
      <c r="V91"/>
      <c r="W91"/>
      <c r="X91"/>
      <c r="Y91"/>
      <c r="Z91"/>
      <c r="AA91"/>
      <c r="AB91"/>
      <c r="AC91"/>
      <c r="AD91"/>
      <c r="AE91"/>
      <c r="AF91"/>
      <c r="AG91"/>
      <c r="AH91"/>
      <c r="AI91"/>
      <c r="AJ91"/>
      <c r="AK91"/>
      <c r="AL91"/>
      <c r="AM91"/>
      <c r="AN91"/>
      <c r="AO91"/>
      <c r="AP91"/>
    </row>
    <row r="92" spans="1:42" ht="14.25" customHeight="1">
      <c r="A92" s="11"/>
      <c r="B92" s="47"/>
      <c r="C92" s="11"/>
      <c r="D92" s="11"/>
      <c r="E92" s="11"/>
      <c r="F92" s="11"/>
      <c r="G92" s="11"/>
      <c r="H92" s="11"/>
      <c r="I92" s="11"/>
      <c r="J92" s="11"/>
      <c r="K92" s="11"/>
      <c r="L92" s="11"/>
      <c r="M92" s="11"/>
      <c r="N92" s="63"/>
      <c r="O92"/>
      <c r="P92"/>
      <c r="Q92"/>
      <c r="R92"/>
      <c r="S92" s="58"/>
      <c r="T92"/>
      <c r="U92"/>
      <c r="V92"/>
      <c r="W92"/>
      <c r="X92"/>
      <c r="Y92"/>
      <c r="Z92"/>
      <c r="AA92"/>
      <c r="AB92"/>
      <c r="AC92"/>
      <c r="AD92"/>
      <c r="AE92"/>
      <c r="AF92"/>
      <c r="AG92"/>
      <c r="AH92"/>
      <c r="AI92"/>
      <c r="AJ92"/>
      <c r="AK92"/>
      <c r="AL92"/>
      <c r="AM92"/>
      <c r="AN92"/>
      <c r="AO92"/>
      <c r="AP92"/>
    </row>
    <row r="93" spans="1:42" ht="14.25" customHeight="1">
      <c r="A93" s="11"/>
      <c r="B93" s="47"/>
      <c r="C93" s="11"/>
      <c r="D93" s="11"/>
      <c r="E93" s="11"/>
      <c r="F93" s="11"/>
      <c r="G93" s="11"/>
      <c r="H93" s="11"/>
      <c r="I93" s="11"/>
      <c r="J93" s="11"/>
      <c r="K93" s="11"/>
      <c r="L93" s="11"/>
      <c r="M93" s="11"/>
      <c r="N93" s="63"/>
      <c r="O93"/>
      <c r="P93"/>
      <c r="Q93"/>
      <c r="R93"/>
      <c r="S93" s="58"/>
      <c r="T93"/>
      <c r="U93"/>
      <c r="V93"/>
      <c r="W93"/>
      <c r="X93"/>
      <c r="Y93"/>
      <c r="Z93"/>
      <c r="AA93"/>
      <c r="AB93"/>
      <c r="AC93"/>
      <c r="AD93"/>
      <c r="AE93"/>
      <c r="AF93"/>
      <c r="AG93"/>
      <c r="AH93"/>
      <c r="AI93"/>
      <c r="AJ93"/>
      <c r="AK93"/>
      <c r="AL93"/>
      <c r="AM93"/>
      <c r="AN93"/>
      <c r="AO93"/>
      <c r="AP93"/>
    </row>
    <row r="94" spans="1:42" ht="14.25" customHeight="1">
      <c r="A94" s="11"/>
      <c r="B94" s="47"/>
      <c r="C94" s="11"/>
      <c r="D94" s="11"/>
      <c r="E94" s="11"/>
      <c r="F94" s="11"/>
      <c r="G94" s="11"/>
      <c r="H94" s="11"/>
      <c r="I94" s="11"/>
      <c r="J94" s="11"/>
      <c r="K94" s="11"/>
      <c r="L94" s="11"/>
      <c r="M94" s="11"/>
      <c r="N94" s="63"/>
      <c r="O94"/>
      <c r="P94"/>
      <c r="Q94"/>
      <c r="R94"/>
      <c r="S94" s="58"/>
      <c r="T94"/>
      <c r="U94"/>
      <c r="V94"/>
      <c r="W94"/>
      <c r="X94"/>
      <c r="Y94"/>
      <c r="Z94"/>
      <c r="AA94"/>
      <c r="AB94"/>
      <c r="AC94"/>
      <c r="AD94"/>
      <c r="AE94"/>
      <c r="AF94"/>
      <c r="AG94"/>
      <c r="AH94"/>
      <c r="AI94"/>
      <c r="AJ94"/>
      <c r="AK94"/>
      <c r="AL94"/>
      <c r="AM94"/>
      <c r="AN94"/>
      <c r="AO94"/>
      <c r="AP94"/>
    </row>
    <row r="95" spans="1:42" ht="14.25" customHeight="1">
      <c r="A95" s="11"/>
      <c r="B95" s="47"/>
      <c r="C95" s="11"/>
      <c r="D95" s="11"/>
      <c r="E95" s="11"/>
      <c r="F95" s="11"/>
      <c r="G95" s="11"/>
      <c r="H95" s="11"/>
      <c r="I95" s="11"/>
      <c r="J95" s="11"/>
      <c r="K95" s="11"/>
      <c r="L95" s="11"/>
      <c r="M95" s="11"/>
      <c r="N95" s="63"/>
      <c r="O95"/>
      <c r="P95"/>
      <c r="Q95"/>
      <c r="R95"/>
      <c r="S95" s="58"/>
      <c r="T95"/>
      <c r="U95"/>
      <c r="V95"/>
      <c r="W95"/>
      <c r="X95"/>
      <c r="Y95"/>
      <c r="Z95"/>
      <c r="AA95"/>
      <c r="AB95"/>
      <c r="AC95"/>
      <c r="AD95"/>
      <c r="AE95"/>
      <c r="AF95"/>
      <c r="AG95"/>
      <c r="AH95"/>
      <c r="AI95"/>
      <c r="AJ95"/>
      <c r="AK95"/>
      <c r="AL95"/>
      <c r="AM95"/>
      <c r="AN95"/>
      <c r="AO95"/>
      <c r="AP95"/>
    </row>
    <row r="96" spans="1:42" ht="14.25" customHeight="1">
      <c r="A96" s="626"/>
      <c r="B96" s="47"/>
      <c r="C96" s="11"/>
      <c r="D96" s="11"/>
      <c r="E96" s="11"/>
      <c r="F96" s="11"/>
      <c r="G96" s="11"/>
      <c r="H96" s="11"/>
      <c r="I96" s="11"/>
      <c r="J96" s="11"/>
      <c r="K96" s="11"/>
      <c r="L96" s="11"/>
      <c r="M96" s="11"/>
      <c r="N96" s="63"/>
      <c r="O96"/>
      <c r="P96"/>
      <c r="Q96"/>
      <c r="R96"/>
      <c r="S96" s="58"/>
      <c r="T96"/>
      <c r="U96"/>
      <c r="V96"/>
      <c r="W96"/>
      <c r="X96"/>
      <c r="Y96"/>
      <c r="Z96"/>
      <c r="AA96"/>
      <c r="AB96"/>
      <c r="AC96"/>
      <c r="AD96"/>
      <c r="AE96"/>
      <c r="AF96"/>
      <c r="AG96"/>
      <c r="AH96"/>
      <c r="AI96"/>
      <c r="AJ96"/>
      <c r="AK96"/>
      <c r="AL96"/>
      <c r="AM96"/>
      <c r="AN96"/>
      <c r="AO96"/>
      <c r="AP96"/>
    </row>
    <row r="97" spans="1:42" ht="14.25" customHeight="1">
      <c r="A97" s="626"/>
      <c r="B97" s="47"/>
      <c r="C97" s="11"/>
      <c r="D97" s="11"/>
      <c r="E97" s="11"/>
      <c r="F97" s="11"/>
      <c r="G97" s="11"/>
      <c r="H97" s="11"/>
      <c r="I97" s="11"/>
      <c r="J97" s="11"/>
      <c r="K97" s="11"/>
      <c r="L97" s="11"/>
      <c r="M97" s="11"/>
      <c r="N97" s="63"/>
      <c r="O97"/>
      <c r="P97"/>
      <c r="Q97"/>
      <c r="R97"/>
      <c r="S97" s="58"/>
      <c r="T97"/>
      <c r="U97"/>
      <c r="V97"/>
      <c r="W97"/>
      <c r="X97"/>
      <c r="Y97"/>
      <c r="Z97"/>
      <c r="AA97"/>
      <c r="AB97"/>
      <c r="AC97"/>
      <c r="AD97"/>
      <c r="AE97"/>
      <c r="AF97"/>
      <c r="AG97"/>
      <c r="AH97"/>
      <c r="AI97"/>
      <c r="AJ97"/>
      <c r="AK97"/>
      <c r="AL97"/>
      <c r="AM97"/>
      <c r="AN97"/>
      <c r="AO97"/>
      <c r="AP97"/>
    </row>
    <row r="98" spans="1:42" ht="14.25" customHeight="1">
      <c r="A98" s="48"/>
      <c r="B98" s="47"/>
      <c r="C98" s="11"/>
      <c r="D98" s="11"/>
      <c r="E98" s="11"/>
      <c r="F98" s="11"/>
      <c r="G98" s="11"/>
      <c r="H98" s="11"/>
      <c r="I98" s="11"/>
      <c r="J98" s="11"/>
      <c r="K98" s="11"/>
      <c r="L98" s="11"/>
      <c r="M98" s="11"/>
      <c r="N98" s="63"/>
      <c r="O98"/>
      <c r="P98"/>
      <c r="Q98"/>
      <c r="R98"/>
      <c r="S98" s="58"/>
      <c r="T98"/>
      <c r="U98"/>
      <c r="V98"/>
      <c r="W98"/>
      <c r="X98"/>
      <c r="Y98"/>
      <c r="Z98"/>
      <c r="AA98"/>
      <c r="AB98"/>
      <c r="AC98"/>
      <c r="AD98"/>
      <c r="AE98"/>
      <c r="AF98"/>
      <c r="AG98"/>
      <c r="AH98"/>
      <c r="AI98"/>
      <c r="AJ98"/>
      <c r="AK98"/>
      <c r="AL98"/>
      <c r="AM98"/>
      <c r="AN98"/>
      <c r="AO98"/>
      <c r="AP98"/>
    </row>
    <row r="99" spans="1:42" ht="14.25" customHeight="1">
      <c r="A99" s="626"/>
      <c r="B99" s="47"/>
      <c r="C99" s="11"/>
      <c r="D99" s="11"/>
      <c r="E99" s="11"/>
      <c r="F99" s="11"/>
      <c r="G99" s="11"/>
      <c r="H99" s="11"/>
      <c r="I99" s="11"/>
      <c r="J99" s="11"/>
      <c r="K99" s="11"/>
      <c r="L99" s="11"/>
      <c r="M99" s="11"/>
      <c r="N99" s="63"/>
      <c r="O99"/>
      <c r="P99"/>
      <c r="Q99"/>
      <c r="R99"/>
      <c r="S99" s="58"/>
      <c r="T99"/>
      <c r="U99"/>
      <c r="V99"/>
      <c r="W99"/>
      <c r="X99"/>
      <c r="Y99"/>
      <c r="Z99"/>
      <c r="AA99"/>
      <c r="AB99"/>
      <c r="AC99"/>
      <c r="AD99"/>
      <c r="AE99"/>
      <c r="AF99"/>
      <c r="AG99"/>
      <c r="AH99"/>
      <c r="AI99"/>
      <c r="AJ99"/>
      <c r="AK99"/>
      <c r="AL99"/>
      <c r="AM99"/>
      <c r="AN99"/>
      <c r="AO99"/>
      <c r="AP99"/>
    </row>
    <row r="100" spans="1:42" ht="14.25" customHeight="1">
      <c r="A100" s="626"/>
      <c r="B100" s="47"/>
      <c r="C100" s="11"/>
      <c r="D100" s="11"/>
      <c r="E100" s="11"/>
      <c r="F100" s="11"/>
      <c r="G100" s="11"/>
      <c r="H100" s="11"/>
      <c r="I100" s="11"/>
      <c r="J100" s="11"/>
      <c r="K100" s="11"/>
      <c r="L100" s="11"/>
      <c r="M100" s="11"/>
      <c r="N100" s="63"/>
      <c r="O100"/>
      <c r="P100"/>
      <c r="Q100"/>
      <c r="R100"/>
      <c r="S100" s="58"/>
      <c r="T100"/>
      <c r="U100"/>
      <c r="V100"/>
      <c r="W100"/>
      <c r="X100"/>
      <c r="Y100"/>
      <c r="Z100"/>
      <c r="AA100"/>
      <c r="AB100"/>
      <c r="AC100"/>
      <c r="AD100"/>
      <c r="AE100"/>
      <c r="AF100"/>
      <c r="AG100"/>
      <c r="AH100"/>
      <c r="AI100"/>
      <c r="AJ100"/>
      <c r="AK100"/>
      <c r="AL100"/>
      <c r="AM100"/>
      <c r="AN100"/>
      <c r="AO100"/>
      <c r="AP100"/>
    </row>
    <row r="101" spans="1:42" ht="14.25" customHeight="1">
      <c r="A101" s="626"/>
      <c r="B101" s="47"/>
      <c r="C101" s="11"/>
      <c r="D101" s="11"/>
      <c r="E101" s="11"/>
      <c r="F101" s="11"/>
      <c r="G101" s="11"/>
      <c r="H101" s="11"/>
      <c r="I101" s="11"/>
      <c r="J101" s="11"/>
      <c r="K101" s="11"/>
      <c r="L101" s="11"/>
      <c r="M101" s="11"/>
      <c r="N101" s="63"/>
      <c r="O101"/>
      <c r="P101"/>
      <c r="Q101"/>
      <c r="R101"/>
      <c r="S101" s="58"/>
      <c r="T101"/>
      <c r="U101"/>
      <c r="V101"/>
      <c r="W101"/>
      <c r="X101"/>
      <c r="Y101"/>
      <c r="Z101"/>
      <c r="AA101"/>
      <c r="AB101"/>
      <c r="AC101"/>
      <c r="AD101"/>
      <c r="AE101"/>
      <c r="AF101"/>
      <c r="AG101"/>
      <c r="AH101"/>
      <c r="AI101"/>
      <c r="AJ101"/>
      <c r="AK101"/>
      <c r="AL101"/>
      <c r="AM101"/>
      <c r="AN101"/>
      <c r="AO101"/>
      <c r="AP101"/>
    </row>
    <row r="102" spans="1:42" ht="14.25" customHeight="1">
      <c r="A102" s="626"/>
      <c r="B102" s="47"/>
      <c r="C102" s="11"/>
      <c r="D102" s="11"/>
      <c r="E102" s="11"/>
      <c r="F102" s="11"/>
      <c r="G102" s="11"/>
      <c r="H102" s="11"/>
      <c r="I102" s="11"/>
      <c r="J102" s="11"/>
      <c r="K102" s="11"/>
      <c r="L102" s="11"/>
      <c r="M102" s="11"/>
      <c r="N102" s="63"/>
      <c r="O102"/>
      <c r="P102"/>
      <c r="Q102"/>
      <c r="R102"/>
      <c r="S102" s="58"/>
      <c r="T102"/>
      <c r="U102"/>
      <c r="V102"/>
      <c r="W102"/>
      <c r="X102"/>
      <c r="Y102"/>
      <c r="Z102"/>
      <c r="AA102"/>
      <c r="AB102"/>
      <c r="AC102"/>
      <c r="AD102"/>
      <c r="AE102"/>
      <c r="AF102"/>
      <c r="AG102"/>
      <c r="AH102"/>
      <c r="AI102"/>
      <c r="AJ102"/>
      <c r="AK102"/>
      <c r="AL102"/>
      <c r="AM102"/>
      <c r="AN102"/>
      <c r="AO102"/>
      <c r="AP102"/>
    </row>
    <row r="103" spans="1:42" ht="14.25" customHeight="1">
      <c r="A103" s="626"/>
      <c r="B103" s="47"/>
      <c r="C103" s="11"/>
      <c r="D103" s="11"/>
      <c r="E103" s="11"/>
      <c r="F103" s="11"/>
      <c r="G103" s="11"/>
      <c r="H103" s="11"/>
      <c r="I103" s="11"/>
      <c r="J103" s="11"/>
      <c r="K103" s="11"/>
      <c r="L103" s="11"/>
      <c r="M103" s="11"/>
      <c r="N103" s="63"/>
      <c r="O103"/>
      <c r="P103"/>
      <c r="Q103"/>
      <c r="R103"/>
      <c r="S103" s="58"/>
      <c r="T103"/>
      <c r="U103"/>
      <c r="V103"/>
      <c r="W103"/>
      <c r="X103"/>
      <c r="Y103"/>
      <c r="Z103"/>
      <c r="AA103"/>
      <c r="AB103"/>
      <c r="AC103"/>
      <c r="AD103"/>
      <c r="AE103"/>
      <c r="AF103"/>
      <c r="AG103"/>
      <c r="AH103"/>
      <c r="AI103"/>
      <c r="AJ103"/>
      <c r="AK103"/>
      <c r="AL103"/>
      <c r="AM103"/>
      <c r="AN103"/>
      <c r="AO103"/>
      <c r="AP103"/>
    </row>
    <row r="104" spans="1:42" ht="14.25" customHeight="1">
      <c r="A104" s="48"/>
      <c r="B104" s="47"/>
      <c r="C104" s="11"/>
      <c r="D104" s="11"/>
      <c r="E104" s="11"/>
      <c r="F104" s="11"/>
      <c r="G104" s="11"/>
      <c r="H104" s="11"/>
      <c r="I104" s="11"/>
      <c r="J104" s="11"/>
      <c r="K104" s="11"/>
      <c r="L104" s="11"/>
      <c r="M104" s="11"/>
      <c r="N104" s="63"/>
      <c r="O104"/>
      <c r="P104"/>
      <c r="Q104"/>
      <c r="R104"/>
      <c r="S104" s="58"/>
      <c r="T104"/>
      <c r="U104"/>
      <c r="V104"/>
      <c r="W104"/>
      <c r="X104"/>
      <c r="Y104"/>
      <c r="Z104"/>
      <c r="AA104"/>
      <c r="AB104"/>
      <c r="AC104"/>
      <c r="AD104"/>
      <c r="AE104"/>
      <c r="AF104"/>
      <c r="AG104"/>
      <c r="AH104"/>
      <c r="AI104"/>
      <c r="AJ104"/>
      <c r="AK104"/>
      <c r="AL104"/>
      <c r="AM104"/>
      <c r="AN104"/>
      <c r="AO104"/>
      <c r="AP104"/>
    </row>
    <row r="105" spans="1:42" ht="14.25" customHeight="1">
      <c r="A105" s="48"/>
      <c r="B105" s="47"/>
      <c r="C105" s="11"/>
      <c r="D105" s="11"/>
      <c r="E105" s="11"/>
      <c r="F105" s="11"/>
      <c r="G105" s="11"/>
      <c r="H105" s="11"/>
      <c r="I105" s="11"/>
      <c r="J105" s="11"/>
      <c r="K105" s="11"/>
      <c r="L105" s="11"/>
      <c r="M105" s="11"/>
      <c r="N105" s="63"/>
      <c r="O105"/>
      <c r="P105"/>
      <c r="Q105"/>
      <c r="R105"/>
      <c r="S105" s="58"/>
      <c r="T105"/>
      <c r="U105"/>
      <c r="V105"/>
      <c r="W105"/>
      <c r="X105"/>
      <c r="Y105"/>
      <c r="Z105"/>
      <c r="AA105"/>
      <c r="AB105"/>
      <c r="AC105"/>
      <c r="AD105"/>
      <c r="AE105"/>
      <c r="AF105"/>
      <c r="AG105"/>
      <c r="AH105"/>
      <c r="AI105"/>
      <c r="AJ105"/>
      <c r="AK105"/>
      <c r="AL105"/>
      <c r="AM105"/>
      <c r="AN105"/>
      <c r="AO105"/>
      <c r="AP105"/>
    </row>
    <row r="106" spans="1:42" ht="14.25" customHeight="1">
      <c r="A106" s="48"/>
      <c r="B106" s="11"/>
      <c r="C106" s="11"/>
      <c r="D106" s="11"/>
      <c r="E106" s="48"/>
      <c r="F106" s="11"/>
      <c r="G106" s="11"/>
      <c r="H106" s="11"/>
      <c r="I106" s="11"/>
      <c r="J106" s="11"/>
      <c r="K106" s="11"/>
      <c r="L106" s="11"/>
      <c r="M106" s="11"/>
      <c r="N106" s="63"/>
      <c r="O106"/>
      <c r="P106"/>
      <c r="Q106"/>
      <c r="R106"/>
      <c r="S106" s="58"/>
      <c r="T106"/>
      <c r="U106"/>
      <c r="V106"/>
      <c r="W106"/>
      <c r="X106"/>
      <c r="Y106"/>
      <c r="Z106"/>
      <c r="AA106"/>
      <c r="AB106"/>
      <c r="AC106"/>
      <c r="AD106"/>
      <c r="AE106"/>
      <c r="AF106"/>
      <c r="AG106"/>
      <c r="AH106"/>
      <c r="AI106"/>
      <c r="AJ106"/>
      <c r="AK106"/>
      <c r="AL106"/>
      <c r="AM106"/>
      <c r="AN106"/>
      <c r="AO106"/>
      <c r="AP106"/>
    </row>
    <row r="107" spans="1:42" ht="14.25" customHeight="1">
      <c r="A107" s="11"/>
      <c r="B107" s="11"/>
      <c r="C107" s="11"/>
      <c r="D107" s="11"/>
      <c r="E107" s="48"/>
      <c r="F107" s="11"/>
      <c r="G107" s="11"/>
      <c r="H107" s="11"/>
      <c r="I107" s="11"/>
      <c r="J107" s="11"/>
      <c r="K107" s="11"/>
      <c r="L107" s="11"/>
      <c r="M107" s="11"/>
      <c r="N107" s="63"/>
      <c r="O107"/>
      <c r="P107"/>
      <c r="Q107"/>
      <c r="R107"/>
      <c r="S107" s="58"/>
      <c r="T107"/>
      <c r="U107"/>
      <c r="V107"/>
      <c r="W107"/>
      <c r="X107"/>
      <c r="Y107"/>
      <c r="Z107"/>
      <c r="AA107"/>
      <c r="AB107"/>
      <c r="AC107"/>
      <c r="AD107"/>
      <c r="AE107"/>
      <c r="AF107"/>
      <c r="AG107"/>
      <c r="AH107"/>
      <c r="AI107"/>
      <c r="AJ107"/>
      <c r="AK107"/>
      <c r="AL107"/>
      <c r="AM107"/>
      <c r="AN107"/>
      <c r="AO107"/>
      <c r="AP107"/>
    </row>
    <row r="108" spans="1:42" ht="14.25" customHeight="1">
      <c r="A108" s="11"/>
      <c r="B108" s="11"/>
      <c r="C108" s="11"/>
      <c r="D108" s="11"/>
      <c r="E108" s="48"/>
      <c r="F108" s="11"/>
      <c r="G108" s="11"/>
      <c r="H108" s="11"/>
      <c r="I108" s="11"/>
      <c r="J108" s="11"/>
      <c r="K108" s="11"/>
      <c r="L108" s="11"/>
      <c r="M108" s="11"/>
      <c r="N108" s="63"/>
      <c r="O108"/>
      <c r="P108"/>
      <c r="Q108"/>
      <c r="R108"/>
      <c r="S108" s="58"/>
      <c r="T108"/>
      <c r="U108"/>
      <c r="V108"/>
      <c r="W108"/>
      <c r="X108"/>
      <c r="Y108"/>
      <c r="Z108"/>
      <c r="AA108"/>
      <c r="AB108"/>
      <c r="AC108"/>
      <c r="AD108"/>
      <c r="AE108"/>
      <c r="AF108"/>
      <c r="AG108"/>
      <c r="AH108"/>
      <c r="AI108"/>
      <c r="AJ108"/>
      <c r="AK108"/>
      <c r="AL108"/>
      <c r="AM108"/>
      <c r="AN108"/>
      <c r="AO108"/>
      <c r="AP108"/>
    </row>
    <row r="109" spans="1:42" ht="14.25" customHeight="1">
      <c r="A109" s="11"/>
      <c r="B109" s="11"/>
      <c r="C109" s="11"/>
      <c r="D109" s="11"/>
      <c r="E109" s="48"/>
      <c r="F109" s="11"/>
      <c r="G109" s="11"/>
      <c r="H109" s="11"/>
      <c r="I109" s="11"/>
      <c r="J109" s="11"/>
      <c r="K109" s="11"/>
      <c r="L109" s="11"/>
      <c r="M109" s="11"/>
      <c r="N109" s="63"/>
      <c r="O109"/>
      <c r="P109"/>
      <c r="Q109"/>
      <c r="R109"/>
      <c r="S109" s="58"/>
      <c r="T109"/>
      <c r="U109"/>
      <c r="V109"/>
      <c r="W109"/>
      <c r="X109"/>
      <c r="Y109"/>
      <c r="Z109"/>
      <c r="AA109"/>
      <c r="AB109"/>
      <c r="AC109"/>
      <c r="AD109"/>
      <c r="AE109"/>
      <c r="AF109"/>
      <c r="AG109"/>
      <c r="AH109"/>
      <c r="AI109"/>
      <c r="AJ109"/>
      <c r="AK109"/>
      <c r="AL109"/>
      <c r="AM109"/>
      <c r="AN109"/>
      <c r="AO109"/>
      <c r="AP109"/>
    </row>
    <row r="110" spans="1:42" ht="14.25" customHeight="1">
      <c r="A110" s="11"/>
      <c r="B110" s="11"/>
      <c r="C110" s="11"/>
      <c r="D110" s="11"/>
      <c r="E110" s="48"/>
      <c r="F110" s="11"/>
      <c r="G110" s="11"/>
      <c r="H110" s="11"/>
      <c r="I110" s="11"/>
      <c r="J110" s="11"/>
      <c r="K110" s="11"/>
      <c r="L110" s="11"/>
      <c r="M110" s="11"/>
      <c r="N110" s="63"/>
      <c r="O110"/>
      <c r="P110"/>
      <c r="Q110"/>
      <c r="R110"/>
      <c r="S110" s="58"/>
      <c r="T110"/>
      <c r="U110"/>
      <c r="V110"/>
      <c r="W110"/>
      <c r="X110"/>
      <c r="Y110"/>
      <c r="Z110"/>
      <c r="AA110"/>
      <c r="AB110"/>
      <c r="AC110"/>
      <c r="AD110"/>
      <c r="AE110"/>
      <c r="AF110"/>
      <c r="AG110"/>
      <c r="AH110"/>
      <c r="AI110"/>
      <c r="AJ110"/>
      <c r="AK110"/>
      <c r="AL110"/>
      <c r="AM110"/>
      <c r="AN110"/>
      <c r="AO110"/>
      <c r="AP110"/>
    </row>
    <row r="111" spans="1:42" ht="14.25" customHeight="1">
      <c r="A111" s="11"/>
      <c r="B111" s="11"/>
      <c r="C111" s="11"/>
      <c r="D111" s="11"/>
      <c r="E111" s="48"/>
      <c r="F111" s="11"/>
      <c r="G111" s="11"/>
      <c r="H111" s="11"/>
      <c r="I111" s="11"/>
      <c r="J111" s="11"/>
      <c r="K111" s="11"/>
      <c r="L111" s="11"/>
      <c r="M111" s="11"/>
      <c r="N111" s="63"/>
      <c r="O111"/>
      <c r="P111"/>
      <c r="Q111"/>
      <c r="R111"/>
      <c r="S111" s="58"/>
      <c r="T111"/>
      <c r="U111"/>
      <c r="V111"/>
      <c r="W111"/>
      <c r="X111"/>
      <c r="Y111"/>
      <c r="Z111"/>
      <c r="AA111"/>
      <c r="AB111"/>
      <c r="AC111"/>
      <c r="AD111"/>
      <c r="AE111"/>
      <c r="AF111"/>
      <c r="AG111"/>
      <c r="AH111"/>
      <c r="AI111"/>
      <c r="AJ111"/>
      <c r="AK111"/>
      <c r="AL111"/>
      <c r="AM111"/>
      <c r="AN111"/>
      <c r="AO111"/>
      <c r="AP111"/>
    </row>
    <row r="112" spans="1:42" ht="14.25" customHeight="1">
      <c r="A112" s="11"/>
      <c r="B112" s="11"/>
      <c r="C112" s="11"/>
      <c r="D112" s="11"/>
      <c r="E112" s="48"/>
      <c r="F112" s="11"/>
      <c r="G112" s="11"/>
      <c r="H112" s="11"/>
      <c r="I112" s="11"/>
      <c r="J112" s="11"/>
      <c r="K112" s="11"/>
      <c r="L112" s="11"/>
      <c r="M112" s="11"/>
      <c r="N112" s="63"/>
      <c r="O112"/>
      <c r="P112"/>
      <c r="Q112"/>
      <c r="R112"/>
      <c r="S112" s="58"/>
      <c r="T112"/>
      <c r="U112"/>
      <c r="V112"/>
      <c r="W112"/>
      <c r="X112"/>
      <c r="Y112"/>
      <c r="Z112"/>
      <c r="AA112"/>
      <c r="AB112"/>
      <c r="AC112"/>
      <c r="AD112"/>
      <c r="AE112"/>
      <c r="AF112"/>
      <c r="AG112"/>
      <c r="AH112"/>
      <c r="AI112"/>
      <c r="AJ112"/>
      <c r="AK112"/>
      <c r="AL112"/>
      <c r="AM112"/>
      <c r="AN112"/>
      <c r="AO112"/>
      <c r="AP112"/>
    </row>
    <row r="113" spans="1:44" ht="14.25" customHeight="1">
      <c r="A113" s="11"/>
      <c r="B113" s="11"/>
      <c r="C113" s="11"/>
      <c r="D113" s="11"/>
      <c r="E113" s="48"/>
      <c r="F113" s="11"/>
      <c r="G113" s="11"/>
      <c r="H113" s="11"/>
      <c r="I113" s="11"/>
      <c r="J113" s="11"/>
      <c r="K113" s="11"/>
      <c r="L113" s="11"/>
      <c r="M113" s="11"/>
      <c r="N113" s="63"/>
      <c r="O113"/>
      <c r="P113"/>
      <c r="Q113"/>
      <c r="R113"/>
      <c r="S113" s="58"/>
      <c r="T113"/>
      <c r="U113"/>
      <c r="V113"/>
      <c r="W113"/>
      <c r="X113"/>
      <c r="Y113"/>
      <c r="Z113"/>
      <c r="AA113"/>
      <c r="AB113"/>
      <c r="AC113"/>
      <c r="AD113"/>
      <c r="AE113"/>
      <c r="AF113"/>
      <c r="AG113"/>
      <c r="AH113"/>
      <c r="AI113"/>
      <c r="AJ113"/>
      <c r="AK113"/>
      <c r="AL113"/>
      <c r="AM113"/>
      <c r="AN113"/>
      <c r="AO113"/>
      <c r="AP113"/>
    </row>
    <row r="114" spans="1:44" ht="14.25" customHeight="1">
      <c r="A114" s="11"/>
      <c r="B114" s="11"/>
      <c r="C114" s="11"/>
      <c r="D114" s="11"/>
      <c r="E114" s="48"/>
      <c r="F114" s="11"/>
      <c r="G114" s="11"/>
      <c r="H114" s="11"/>
      <c r="I114" s="11"/>
      <c r="J114" s="11"/>
      <c r="K114" s="11"/>
      <c r="L114" s="11"/>
      <c r="M114" s="11"/>
      <c r="N114" s="63"/>
      <c r="O114"/>
      <c r="P114"/>
      <c r="Q114"/>
      <c r="R114"/>
      <c r="S114" s="58"/>
      <c r="T114"/>
      <c r="U114"/>
      <c r="V114"/>
      <c r="W114"/>
      <c r="X114"/>
      <c r="Y114"/>
      <c r="Z114"/>
      <c r="AA114"/>
      <c r="AB114"/>
      <c r="AC114"/>
      <c r="AD114"/>
      <c r="AE114"/>
      <c r="AF114"/>
      <c r="AG114"/>
      <c r="AH114"/>
      <c r="AI114"/>
      <c r="AJ114"/>
      <c r="AK114"/>
      <c r="AL114"/>
      <c r="AM114"/>
      <c r="AN114"/>
      <c r="AO114"/>
      <c r="AP114"/>
    </row>
    <row r="115" spans="1:44" ht="14.25" customHeight="1">
      <c r="A115" s="11"/>
      <c r="B115" s="11"/>
      <c r="C115" s="11"/>
      <c r="D115" s="11"/>
      <c r="E115" s="48"/>
      <c r="F115" s="11"/>
      <c r="G115" s="11"/>
      <c r="H115" s="11"/>
      <c r="I115" s="11"/>
      <c r="J115" s="11"/>
      <c r="K115" s="11"/>
      <c r="L115" s="11"/>
      <c r="M115" s="11"/>
      <c r="N115" s="63"/>
      <c r="O115"/>
      <c r="P115"/>
      <c r="Q115"/>
      <c r="R115"/>
      <c r="S115" s="58"/>
      <c r="T115"/>
      <c r="U115"/>
      <c r="V115"/>
      <c r="W115"/>
      <c r="X115"/>
      <c r="Y115"/>
      <c r="Z115"/>
      <c r="AA115"/>
      <c r="AB115"/>
      <c r="AC115"/>
      <c r="AD115"/>
      <c r="AE115"/>
      <c r="AF115"/>
      <c r="AG115"/>
      <c r="AH115"/>
      <c r="AI115"/>
      <c r="AJ115"/>
      <c r="AK115"/>
      <c r="AL115"/>
      <c r="AM115"/>
      <c r="AN115"/>
      <c r="AO115"/>
      <c r="AP115"/>
    </row>
    <row r="116" spans="1:44" ht="14.25" customHeight="1">
      <c r="A116" s="11"/>
      <c r="B116" s="11"/>
      <c r="C116" s="11"/>
      <c r="D116" s="11"/>
      <c r="E116" s="48"/>
      <c r="F116" s="11"/>
      <c r="G116" s="11"/>
      <c r="H116" s="11"/>
      <c r="I116" s="11"/>
      <c r="J116" s="11"/>
      <c r="K116" s="11"/>
      <c r="L116" s="11"/>
      <c r="M116" s="11"/>
      <c r="N116" s="63"/>
      <c r="O116"/>
      <c r="P116"/>
      <c r="Q116"/>
      <c r="R116"/>
      <c r="S116" s="58"/>
      <c r="T116"/>
      <c r="U116"/>
      <c r="V116"/>
      <c r="W116"/>
      <c r="X116"/>
      <c r="Y116"/>
      <c r="Z116"/>
      <c r="AA116"/>
      <c r="AB116"/>
      <c r="AC116"/>
      <c r="AD116"/>
      <c r="AE116"/>
      <c r="AF116"/>
      <c r="AG116"/>
      <c r="AH116"/>
      <c r="AI116"/>
      <c r="AJ116"/>
      <c r="AK116"/>
      <c r="AL116"/>
      <c r="AM116"/>
      <c r="AN116"/>
      <c r="AO116"/>
      <c r="AP116"/>
    </row>
    <row r="117" spans="1:44" ht="14.25" customHeight="1">
      <c r="A117" s="11"/>
      <c r="B117" s="11"/>
      <c r="C117" s="11"/>
      <c r="D117" s="11"/>
      <c r="E117" s="11"/>
      <c r="F117" s="11"/>
      <c r="G117" s="11"/>
      <c r="H117" s="11"/>
      <c r="I117" s="11"/>
      <c r="J117" s="11"/>
      <c r="K117" s="11"/>
      <c r="L117" s="11"/>
      <c r="M117" s="11"/>
      <c r="N117" s="63"/>
      <c r="O117"/>
      <c r="P117"/>
      <c r="Q117"/>
      <c r="R117"/>
      <c r="S117" s="58"/>
      <c r="T117"/>
      <c r="U117"/>
      <c r="V117"/>
      <c r="W117"/>
      <c r="X117"/>
      <c r="Y117"/>
      <c r="Z117"/>
      <c r="AA117"/>
      <c r="AB117"/>
      <c r="AC117"/>
      <c r="AD117"/>
      <c r="AE117"/>
      <c r="AF117"/>
      <c r="AG117"/>
      <c r="AH117"/>
      <c r="AI117"/>
      <c r="AJ117"/>
      <c r="AK117"/>
      <c r="AL117"/>
      <c r="AM117"/>
      <c r="AN117"/>
      <c r="AO117"/>
      <c r="AP117"/>
    </row>
    <row r="118" spans="1:44" ht="14.25" customHeight="1">
      <c r="A118" s="11"/>
      <c r="B118" s="11"/>
      <c r="C118" s="11"/>
      <c r="D118" s="11"/>
      <c r="E118" s="11"/>
      <c r="F118" s="11"/>
      <c r="G118" s="11"/>
      <c r="H118" s="11"/>
      <c r="I118" s="11"/>
      <c r="J118" s="11"/>
      <c r="K118" s="11"/>
      <c r="L118" s="11"/>
      <c r="M118" s="11"/>
      <c r="N118" s="63"/>
      <c r="O118"/>
      <c r="P118"/>
      <c r="Q118"/>
      <c r="R118"/>
      <c r="S118" s="58"/>
      <c r="T118"/>
      <c r="U118"/>
      <c r="V118"/>
      <c r="W118"/>
      <c r="X118"/>
      <c r="Y118"/>
      <c r="Z118"/>
      <c r="AA118"/>
      <c r="AB118"/>
      <c r="AC118"/>
      <c r="AD118"/>
      <c r="AE118"/>
      <c r="AF118"/>
      <c r="AG118"/>
      <c r="AH118"/>
      <c r="AI118"/>
      <c r="AJ118"/>
      <c r="AK118"/>
      <c r="AL118"/>
      <c r="AM118"/>
      <c r="AN118"/>
      <c r="AO118"/>
      <c r="AP118"/>
    </row>
    <row r="119" spans="1:44" ht="14.25" customHeight="1">
      <c r="A119" s="11"/>
      <c r="B119" s="11"/>
      <c r="C119" s="11"/>
      <c r="D119" s="11"/>
      <c r="E119" s="11"/>
      <c r="F119" s="11"/>
      <c r="G119" s="11"/>
      <c r="H119" s="11"/>
      <c r="I119" s="11"/>
      <c r="J119" s="11"/>
      <c r="K119" s="11"/>
      <c r="L119" s="11"/>
      <c r="M119" s="11"/>
      <c r="N119" s="63"/>
      <c r="O119"/>
      <c r="P119"/>
      <c r="Q119"/>
      <c r="R119"/>
      <c r="S119" s="58"/>
      <c r="T119"/>
      <c r="U119"/>
      <c r="V119"/>
      <c r="W119"/>
      <c r="X119"/>
      <c r="Y119"/>
      <c r="Z119"/>
      <c r="AA119"/>
      <c r="AB119"/>
      <c r="AC119"/>
      <c r="AD119"/>
      <c r="AE119"/>
      <c r="AF119"/>
      <c r="AG119"/>
      <c r="AH119"/>
      <c r="AI119"/>
      <c r="AJ119"/>
      <c r="AK119"/>
      <c r="AL119"/>
      <c r="AM119"/>
      <c r="AN119"/>
      <c r="AO119"/>
      <c r="AP119"/>
    </row>
    <row r="120" spans="1:44" ht="14.25" customHeight="1">
      <c r="A120" s="11"/>
      <c r="B120" s="11"/>
      <c r="C120" s="11"/>
      <c r="D120" s="11"/>
      <c r="E120" s="11"/>
      <c r="F120" s="11"/>
      <c r="G120" s="11"/>
      <c r="H120" s="11"/>
      <c r="I120" s="11"/>
      <c r="J120" s="11"/>
      <c r="K120" s="11"/>
      <c r="L120" s="11"/>
      <c r="M120" s="11"/>
      <c r="N120" s="63"/>
      <c r="O120"/>
      <c r="P120"/>
      <c r="Q120"/>
      <c r="R120"/>
      <c r="S120" s="58"/>
      <c r="T120"/>
      <c r="U120"/>
      <c r="V120"/>
      <c r="W120"/>
      <c r="X120"/>
      <c r="Y120"/>
      <c r="Z120"/>
      <c r="AA120"/>
      <c r="AB120"/>
      <c r="AC120"/>
      <c r="AD120"/>
      <c r="AE120"/>
      <c r="AF120"/>
      <c r="AG120"/>
      <c r="AH120"/>
      <c r="AI120"/>
      <c r="AJ120"/>
      <c r="AK120"/>
      <c r="AL120"/>
      <c r="AM120"/>
      <c r="AN120"/>
      <c r="AO120"/>
      <c r="AP120"/>
      <c r="AQ120" s="11"/>
      <c r="AR120" s="11"/>
    </row>
    <row r="121" spans="1:44" ht="14.25" customHeight="1">
      <c r="A121" s="11"/>
      <c r="B121" s="11"/>
      <c r="C121" s="11"/>
      <c r="D121" s="11"/>
      <c r="E121" s="11"/>
      <c r="F121" s="11"/>
      <c r="G121" s="11"/>
      <c r="H121" s="11"/>
      <c r="I121" s="11"/>
      <c r="J121" s="11"/>
      <c r="K121" s="11"/>
      <c r="L121" s="11"/>
      <c r="M121" s="11"/>
      <c r="N121" s="63"/>
      <c r="O121"/>
      <c r="P121"/>
      <c r="Q121"/>
      <c r="R121"/>
      <c r="S121" s="58"/>
      <c r="T121"/>
      <c r="U121"/>
      <c r="V121"/>
      <c r="W121"/>
      <c r="X121"/>
      <c r="Y121"/>
      <c r="Z121"/>
      <c r="AA121"/>
      <c r="AB121"/>
      <c r="AC121"/>
      <c r="AD121"/>
      <c r="AE121"/>
      <c r="AF121"/>
      <c r="AG121"/>
      <c r="AH121"/>
      <c r="AI121"/>
      <c r="AJ121"/>
      <c r="AK121"/>
      <c r="AL121"/>
      <c r="AM121"/>
      <c r="AN121"/>
      <c r="AO121"/>
      <c r="AP121"/>
      <c r="AQ121" s="11"/>
      <c r="AR121" s="11"/>
    </row>
    <row r="122" spans="1:44" ht="20.25" customHeight="1">
      <c r="A122" s="11"/>
      <c r="B122" s="11"/>
      <c r="C122" s="11"/>
      <c r="D122" s="11"/>
      <c r="E122" s="11"/>
      <c r="F122" s="11"/>
      <c r="G122" s="11"/>
      <c r="H122" s="11"/>
      <c r="I122" s="11"/>
      <c r="J122" s="11"/>
      <c r="K122" s="11"/>
      <c r="L122" s="11"/>
      <c r="M122" s="11"/>
      <c r="N122" s="63"/>
      <c r="O122"/>
      <c r="P122"/>
      <c r="Q122"/>
      <c r="R122"/>
      <c r="S122" s="58"/>
      <c r="T122"/>
      <c r="U122"/>
      <c r="V122"/>
      <c r="W122"/>
      <c r="X122"/>
      <c r="Y122"/>
      <c r="Z122"/>
      <c r="AA122"/>
      <c r="AB122"/>
      <c r="AC122"/>
      <c r="AD122"/>
      <c r="AE122"/>
      <c r="AF122"/>
      <c r="AG122"/>
      <c r="AH122"/>
      <c r="AI122"/>
      <c r="AJ122"/>
      <c r="AK122"/>
      <c r="AL122"/>
      <c r="AM122"/>
      <c r="AN122"/>
      <c r="AO122"/>
      <c r="AP122"/>
      <c r="AQ122" s="11"/>
      <c r="AR122" s="11"/>
    </row>
    <row r="123" spans="1:44" ht="14.25" customHeight="1">
      <c r="A123" s="11"/>
      <c r="B123" s="11"/>
      <c r="C123" s="11"/>
      <c r="D123" s="11"/>
      <c r="E123" s="11"/>
      <c r="F123" s="11"/>
      <c r="G123" s="11"/>
      <c r="H123" s="11"/>
      <c r="I123" s="11"/>
      <c r="J123" s="11"/>
      <c r="K123" s="11"/>
      <c r="L123" s="11"/>
      <c r="M123" s="11"/>
      <c r="N123" s="63"/>
      <c r="O123"/>
      <c r="P123"/>
      <c r="Q123"/>
      <c r="R123"/>
      <c r="S123" s="58"/>
      <c r="T123"/>
      <c r="U123"/>
      <c r="V123"/>
      <c r="W123"/>
      <c r="X123"/>
      <c r="Y123"/>
      <c r="Z123"/>
      <c r="AA123"/>
      <c r="AB123"/>
      <c r="AC123"/>
      <c r="AD123"/>
      <c r="AE123"/>
      <c r="AF123"/>
      <c r="AG123"/>
      <c r="AH123"/>
      <c r="AI123"/>
      <c r="AJ123"/>
      <c r="AK123"/>
      <c r="AL123"/>
      <c r="AM123"/>
      <c r="AN123"/>
      <c r="AO123"/>
      <c r="AP123"/>
      <c r="AQ123" s="11"/>
      <c r="AR123" s="11"/>
    </row>
    <row r="124" spans="1:44" ht="14.25" customHeight="1">
      <c r="A124" s="11"/>
      <c r="B124" s="11"/>
      <c r="C124" s="11"/>
      <c r="D124" s="11"/>
      <c r="E124" s="11"/>
      <c r="F124" s="11"/>
      <c r="G124" s="11"/>
      <c r="H124" s="11"/>
      <c r="I124" s="11"/>
      <c r="J124" s="11"/>
      <c r="K124" s="11"/>
      <c r="L124" s="11"/>
      <c r="M124" s="11"/>
      <c r="N124" s="63"/>
      <c r="O124"/>
      <c r="P124"/>
      <c r="Q124"/>
      <c r="R124"/>
      <c r="S124" s="58"/>
      <c r="T124"/>
      <c r="U124"/>
      <c r="V124"/>
      <c r="W124"/>
      <c r="X124"/>
      <c r="Y124"/>
      <c r="Z124"/>
      <c r="AA124"/>
      <c r="AB124"/>
      <c r="AC124"/>
      <c r="AD124"/>
      <c r="AE124"/>
      <c r="AF124"/>
      <c r="AG124"/>
      <c r="AH124"/>
      <c r="AI124"/>
      <c r="AJ124"/>
      <c r="AK124"/>
      <c r="AL124"/>
      <c r="AM124"/>
      <c r="AN124"/>
      <c r="AO124"/>
      <c r="AP124"/>
      <c r="AQ124" s="11"/>
    </row>
    <row r="125" spans="1:44" ht="14.25" customHeight="1">
      <c r="A125" s="11"/>
      <c r="B125" s="11"/>
      <c r="C125" s="11"/>
      <c r="D125" s="11"/>
      <c r="E125" s="11"/>
      <c r="F125" s="11"/>
      <c r="G125" s="11"/>
      <c r="H125" s="11"/>
      <c r="I125" s="11"/>
      <c r="J125" s="11"/>
      <c r="K125" s="11"/>
      <c r="L125" s="11"/>
      <c r="M125" s="11"/>
      <c r="N125" s="63"/>
      <c r="O125"/>
      <c r="P125"/>
      <c r="Q125"/>
      <c r="R125"/>
      <c r="S125" s="58"/>
      <c r="T125"/>
      <c r="U125"/>
      <c r="V125"/>
      <c r="W125"/>
      <c r="X125"/>
      <c r="Y125"/>
      <c r="Z125"/>
      <c r="AA125"/>
      <c r="AB125"/>
      <c r="AC125"/>
      <c r="AD125"/>
      <c r="AE125"/>
      <c r="AF125"/>
      <c r="AG125"/>
      <c r="AH125"/>
      <c r="AI125"/>
      <c r="AJ125"/>
      <c r="AK125"/>
      <c r="AL125"/>
      <c r="AM125"/>
      <c r="AN125"/>
      <c r="AO125"/>
      <c r="AP125"/>
      <c r="AQ125" s="11"/>
    </row>
    <row r="126" spans="1:44" ht="14.25" customHeight="1">
      <c r="A126" s="11"/>
      <c r="B126" s="11"/>
      <c r="C126" s="11"/>
      <c r="D126" s="11"/>
      <c r="E126" s="11"/>
      <c r="F126" s="11"/>
      <c r="G126" s="11"/>
      <c r="H126" s="11"/>
      <c r="I126" s="11"/>
      <c r="J126" s="11"/>
      <c r="K126" s="11"/>
      <c r="L126" s="11"/>
      <c r="M126" s="11"/>
      <c r="N126" s="63"/>
      <c r="O126"/>
      <c r="P126"/>
      <c r="Q126"/>
      <c r="R126"/>
      <c r="S126" s="58"/>
      <c r="T126"/>
      <c r="U126"/>
      <c r="V126"/>
      <c r="W126"/>
      <c r="X126"/>
      <c r="Y126"/>
      <c r="Z126"/>
      <c r="AA126"/>
      <c r="AB126"/>
      <c r="AC126"/>
      <c r="AD126"/>
      <c r="AE126"/>
      <c r="AF126"/>
      <c r="AG126"/>
      <c r="AH126"/>
      <c r="AI126"/>
      <c r="AJ126"/>
      <c r="AK126"/>
      <c r="AL126"/>
      <c r="AM126"/>
      <c r="AN126"/>
      <c r="AO126"/>
      <c r="AP126"/>
      <c r="AQ126" s="11"/>
    </row>
    <row r="127" spans="1:44" ht="14.25" customHeight="1">
      <c r="A127" s="11"/>
      <c r="B127" s="11"/>
      <c r="C127" s="11"/>
      <c r="D127" s="11"/>
      <c r="E127" s="11"/>
      <c r="F127" s="11"/>
      <c r="G127" s="11"/>
      <c r="H127" s="11"/>
      <c r="I127" s="11"/>
      <c r="J127" s="11"/>
      <c r="K127" s="11"/>
      <c r="L127" s="11"/>
      <c r="M127" s="11"/>
      <c r="N127" s="63"/>
      <c r="O127"/>
      <c r="P127"/>
      <c r="Q127"/>
      <c r="R127"/>
      <c r="S127" s="58"/>
      <c r="T127"/>
      <c r="U127"/>
      <c r="V127"/>
      <c r="W127"/>
      <c r="X127"/>
      <c r="Y127"/>
      <c r="Z127"/>
      <c r="AA127"/>
      <c r="AB127"/>
      <c r="AC127"/>
      <c r="AD127"/>
      <c r="AE127"/>
      <c r="AF127"/>
      <c r="AG127"/>
      <c r="AH127"/>
      <c r="AI127"/>
      <c r="AJ127"/>
      <c r="AK127"/>
      <c r="AL127"/>
      <c r="AM127"/>
      <c r="AN127"/>
      <c r="AO127"/>
      <c r="AP127"/>
      <c r="AQ127" s="11"/>
    </row>
    <row r="128" spans="1:44" ht="14.25" customHeight="1">
      <c r="A128" s="11"/>
      <c r="B128" s="11"/>
      <c r="C128" s="11"/>
      <c r="D128" s="11"/>
      <c r="E128" s="11"/>
      <c r="F128" s="11"/>
      <c r="G128" s="11"/>
      <c r="H128" s="11"/>
      <c r="I128" s="11"/>
      <c r="J128" s="11"/>
      <c r="K128" s="11"/>
      <c r="L128" s="11"/>
      <c r="M128" s="11"/>
      <c r="N128" s="63"/>
      <c r="O128"/>
      <c r="P128"/>
      <c r="Q128"/>
      <c r="R128"/>
      <c r="S128" s="58"/>
      <c r="T128"/>
      <c r="U128"/>
      <c r="V128"/>
      <c r="W128"/>
      <c r="X128"/>
      <c r="Y128"/>
      <c r="Z128"/>
      <c r="AA128"/>
      <c r="AB128"/>
      <c r="AC128"/>
      <c r="AD128"/>
      <c r="AE128"/>
      <c r="AF128"/>
      <c r="AG128"/>
      <c r="AH128"/>
      <c r="AI128"/>
      <c r="AJ128"/>
      <c r="AK128"/>
      <c r="AL128"/>
      <c r="AM128"/>
      <c r="AN128"/>
      <c r="AO128"/>
      <c r="AP128"/>
      <c r="AQ128" s="11"/>
    </row>
    <row r="129" spans="1:43" ht="14.25" customHeight="1">
      <c r="A129" s="11"/>
      <c r="B129" s="11"/>
      <c r="C129" s="11"/>
      <c r="D129" s="11"/>
      <c r="E129" s="11"/>
      <c r="F129" s="11"/>
      <c r="G129" s="11"/>
      <c r="H129" s="11"/>
      <c r="I129" s="11"/>
      <c r="J129" s="11"/>
      <c r="K129" s="11"/>
      <c r="L129" s="11"/>
      <c r="M129" s="11"/>
      <c r="N129" s="63"/>
      <c r="O129"/>
      <c r="P129"/>
      <c r="Q129"/>
      <c r="R129"/>
      <c r="S129" s="58"/>
      <c r="T129"/>
      <c r="U129"/>
      <c r="V129"/>
      <c r="W129"/>
      <c r="X129"/>
      <c r="Y129"/>
      <c r="Z129"/>
      <c r="AA129"/>
      <c r="AB129"/>
      <c r="AC129"/>
      <c r="AD129"/>
      <c r="AE129"/>
      <c r="AF129"/>
      <c r="AG129"/>
      <c r="AH129"/>
      <c r="AI129"/>
      <c r="AJ129"/>
      <c r="AK129"/>
      <c r="AL129"/>
      <c r="AM129"/>
      <c r="AN129"/>
      <c r="AO129"/>
      <c r="AP129"/>
      <c r="AQ129" s="11"/>
    </row>
    <row r="130" spans="1:43" ht="14.25" customHeight="1">
      <c r="A130" s="11"/>
      <c r="B130" s="11"/>
      <c r="C130" s="11"/>
      <c r="D130" s="11"/>
      <c r="E130" s="11"/>
      <c r="F130" s="11"/>
      <c r="G130" s="11"/>
      <c r="H130" s="11"/>
      <c r="I130" s="11"/>
      <c r="J130" s="11"/>
      <c r="K130" s="11"/>
      <c r="L130" s="11"/>
      <c r="M130" s="11"/>
      <c r="N130" s="63"/>
      <c r="O130"/>
      <c r="P130"/>
      <c r="Q130"/>
      <c r="R130"/>
      <c r="S130" s="58"/>
      <c r="T130"/>
      <c r="U130"/>
      <c r="V130"/>
      <c r="W130"/>
      <c r="X130"/>
      <c r="Y130"/>
      <c r="Z130"/>
      <c r="AA130"/>
      <c r="AB130"/>
      <c r="AC130"/>
      <c r="AD130"/>
      <c r="AE130"/>
      <c r="AF130"/>
      <c r="AG130"/>
      <c r="AH130"/>
      <c r="AI130"/>
      <c r="AJ130"/>
      <c r="AK130"/>
      <c r="AL130"/>
      <c r="AM130"/>
      <c r="AN130"/>
      <c r="AO130"/>
      <c r="AP130"/>
      <c r="AQ130" s="11"/>
    </row>
    <row r="131" spans="1:43" ht="14.25" customHeight="1">
      <c r="A131" s="11"/>
      <c r="B131" s="11"/>
      <c r="C131" s="11"/>
      <c r="D131" s="11"/>
      <c r="E131" s="11"/>
      <c r="F131" s="11"/>
      <c r="G131" s="11"/>
      <c r="H131" s="11"/>
      <c r="I131" s="11"/>
      <c r="J131" s="11"/>
      <c r="K131" s="11"/>
      <c r="L131" s="11"/>
      <c r="M131" s="11"/>
      <c r="N131" s="63"/>
      <c r="O131"/>
      <c r="P131"/>
      <c r="Q131"/>
      <c r="R131"/>
      <c r="S131" s="58"/>
      <c r="T131"/>
      <c r="U131"/>
      <c r="V131"/>
      <c r="W131"/>
      <c r="X131"/>
      <c r="Y131"/>
      <c r="Z131"/>
      <c r="AA131"/>
      <c r="AB131"/>
      <c r="AC131"/>
      <c r="AD131"/>
      <c r="AE131"/>
      <c r="AF131"/>
      <c r="AG131"/>
      <c r="AH131"/>
      <c r="AI131"/>
      <c r="AJ131"/>
      <c r="AK131"/>
      <c r="AL131"/>
      <c r="AM131"/>
      <c r="AN131"/>
      <c r="AO131"/>
      <c r="AP131"/>
      <c r="AQ131" s="11"/>
    </row>
    <row r="132" spans="1:43" ht="15">
      <c r="A132" s="11"/>
      <c r="B132" s="11"/>
      <c r="C132" s="11"/>
      <c r="D132" s="11"/>
      <c r="E132" s="11"/>
      <c r="F132" s="11"/>
      <c r="G132" s="11"/>
      <c r="H132" s="11"/>
      <c r="I132" s="11"/>
      <c r="J132" s="11"/>
      <c r="K132" s="11"/>
      <c r="L132" s="11"/>
      <c r="M132" s="11"/>
      <c r="N132" s="63"/>
      <c r="O132"/>
      <c r="P132"/>
      <c r="Q132"/>
      <c r="R132"/>
      <c r="S132" s="58"/>
      <c r="T132"/>
      <c r="U132"/>
      <c r="V132"/>
      <c r="W132"/>
      <c r="X132"/>
      <c r="Y132"/>
      <c r="Z132"/>
      <c r="AA132"/>
      <c r="AB132"/>
      <c r="AC132"/>
      <c r="AD132"/>
      <c r="AE132"/>
      <c r="AF132"/>
      <c r="AG132"/>
      <c r="AH132"/>
      <c r="AI132"/>
      <c r="AJ132"/>
      <c r="AK132"/>
      <c r="AL132"/>
      <c r="AM132"/>
      <c r="AN132"/>
      <c r="AO132"/>
      <c r="AP132"/>
      <c r="AQ132" s="11"/>
    </row>
    <row r="133" spans="1:43" ht="15">
      <c r="A133" s="11"/>
      <c r="B133" s="11"/>
      <c r="C133" s="11"/>
      <c r="D133" s="11"/>
      <c r="E133" s="11"/>
      <c r="F133" s="11"/>
      <c r="G133" s="11"/>
      <c r="H133" s="11"/>
      <c r="I133" s="11"/>
      <c r="J133" s="11"/>
      <c r="K133" s="11"/>
      <c r="L133" s="11"/>
      <c r="M133" s="11"/>
      <c r="N133" s="63"/>
      <c r="O133"/>
      <c r="P133"/>
      <c r="Q133"/>
      <c r="R133"/>
      <c r="S133" s="58"/>
      <c r="T133"/>
      <c r="U133"/>
      <c r="V133"/>
      <c r="W133"/>
      <c r="X133"/>
      <c r="Y133"/>
      <c r="Z133"/>
      <c r="AA133"/>
      <c r="AB133"/>
      <c r="AC133"/>
      <c r="AD133"/>
      <c r="AE133"/>
      <c r="AF133"/>
      <c r="AG133"/>
      <c r="AH133"/>
      <c r="AI133"/>
      <c r="AJ133"/>
      <c r="AK133"/>
      <c r="AL133"/>
      <c r="AM133"/>
      <c r="AN133"/>
      <c r="AO133"/>
      <c r="AP133"/>
      <c r="AQ133" s="11"/>
    </row>
    <row r="134" spans="1:43" ht="15">
      <c r="A134" s="11"/>
      <c r="B134" s="11"/>
      <c r="C134" s="11"/>
      <c r="D134" s="11"/>
      <c r="E134" s="11"/>
      <c r="F134" s="11"/>
      <c r="G134" s="11"/>
      <c r="H134" s="11"/>
      <c r="I134" s="11"/>
      <c r="J134" s="11"/>
      <c r="K134" s="11"/>
      <c r="L134" s="11"/>
      <c r="M134" s="11"/>
      <c r="N134" s="63"/>
      <c r="O134"/>
      <c r="P134"/>
      <c r="Q134"/>
      <c r="R134"/>
      <c r="S134" s="58"/>
      <c r="T134"/>
      <c r="U134"/>
      <c r="V134"/>
      <c r="W134"/>
      <c r="X134"/>
      <c r="Y134"/>
      <c r="Z134"/>
      <c r="AA134"/>
      <c r="AB134"/>
      <c r="AC134"/>
      <c r="AD134"/>
      <c r="AE134"/>
      <c r="AF134"/>
      <c r="AG134"/>
      <c r="AH134"/>
      <c r="AI134"/>
      <c r="AJ134"/>
      <c r="AK134"/>
      <c r="AL134"/>
      <c r="AM134"/>
      <c r="AN134"/>
      <c r="AO134"/>
      <c r="AP134"/>
      <c r="AQ134" s="11"/>
    </row>
    <row r="135" spans="1:43" ht="15">
      <c r="A135" s="11"/>
      <c r="B135" s="11"/>
      <c r="C135" s="11"/>
      <c r="D135" s="11"/>
      <c r="E135" s="11"/>
      <c r="F135" s="11"/>
      <c r="G135" s="11"/>
      <c r="H135" s="11"/>
      <c r="I135" s="11"/>
      <c r="J135" s="11"/>
      <c r="K135" s="11"/>
      <c r="L135" s="11"/>
      <c r="M135" s="11"/>
      <c r="N135" s="63"/>
      <c r="O135"/>
      <c r="P135"/>
      <c r="Q135"/>
      <c r="R135"/>
      <c r="S135" s="58"/>
      <c r="T135"/>
      <c r="U135"/>
      <c r="V135"/>
      <c r="W135"/>
      <c r="X135"/>
      <c r="Y135"/>
      <c r="Z135"/>
      <c r="AA135"/>
      <c r="AB135"/>
      <c r="AC135"/>
      <c r="AD135"/>
      <c r="AE135"/>
      <c r="AF135"/>
      <c r="AG135"/>
      <c r="AH135"/>
      <c r="AI135"/>
      <c r="AJ135"/>
      <c r="AK135"/>
      <c r="AL135"/>
      <c r="AM135"/>
      <c r="AN135"/>
      <c r="AO135"/>
      <c r="AP135"/>
      <c r="AQ135" s="11"/>
    </row>
    <row r="136" spans="1:43" ht="15">
      <c r="A136" s="11"/>
      <c r="B136" s="11"/>
      <c r="C136" s="11"/>
      <c r="D136" s="11"/>
      <c r="E136" s="11"/>
      <c r="F136" s="11"/>
      <c r="G136" s="11"/>
      <c r="H136" s="11"/>
      <c r="I136" s="11"/>
      <c r="J136" s="11"/>
      <c r="K136" s="11"/>
      <c r="L136" s="11"/>
      <c r="M136" s="11"/>
      <c r="N136" s="63"/>
      <c r="O136"/>
      <c r="P136"/>
      <c r="Q136"/>
      <c r="R136"/>
      <c r="S136" s="58"/>
      <c r="T136"/>
      <c r="U136"/>
      <c r="V136"/>
      <c r="W136"/>
      <c r="X136"/>
      <c r="Y136"/>
      <c r="Z136"/>
      <c r="AA136"/>
      <c r="AB136"/>
      <c r="AC136"/>
      <c r="AD136"/>
      <c r="AE136"/>
      <c r="AF136"/>
      <c r="AG136"/>
      <c r="AH136"/>
      <c r="AI136"/>
      <c r="AJ136"/>
      <c r="AK136"/>
      <c r="AL136"/>
      <c r="AM136"/>
      <c r="AN136"/>
      <c r="AO136"/>
      <c r="AP136"/>
      <c r="AQ136" s="11"/>
    </row>
    <row r="137" spans="1:43" ht="15">
      <c r="A137" s="11"/>
      <c r="B137" s="11"/>
      <c r="C137" s="11"/>
      <c r="D137" s="11"/>
      <c r="E137" s="11"/>
      <c r="F137" s="11"/>
      <c r="G137" s="11"/>
      <c r="H137" s="11"/>
      <c r="I137" s="11"/>
      <c r="J137" s="11"/>
      <c r="K137" s="11"/>
      <c r="L137" s="11"/>
      <c r="M137" s="11"/>
      <c r="N137" s="63"/>
      <c r="O137"/>
      <c r="P137"/>
      <c r="Q137"/>
      <c r="R137"/>
      <c r="S137" s="58"/>
      <c r="T137"/>
      <c r="U137"/>
      <c r="V137"/>
      <c r="W137"/>
      <c r="X137"/>
      <c r="Y137"/>
      <c r="Z137"/>
      <c r="AA137"/>
      <c r="AB137"/>
      <c r="AC137"/>
      <c r="AD137"/>
      <c r="AE137"/>
      <c r="AF137"/>
      <c r="AG137"/>
      <c r="AH137"/>
      <c r="AI137"/>
      <c r="AJ137"/>
      <c r="AK137"/>
      <c r="AL137"/>
      <c r="AM137"/>
      <c r="AN137"/>
      <c r="AO137"/>
      <c r="AP137"/>
      <c r="AQ137" s="11"/>
    </row>
    <row r="138" spans="1:43" ht="15">
      <c r="A138" s="11"/>
      <c r="B138" s="11"/>
      <c r="C138" s="11"/>
      <c r="D138" s="11"/>
      <c r="E138" s="11"/>
      <c r="F138" s="11"/>
      <c r="G138" s="11"/>
      <c r="H138" s="11"/>
      <c r="I138" s="11"/>
      <c r="J138" s="11"/>
      <c r="K138" s="11"/>
      <c r="L138" s="11"/>
      <c r="M138" s="11"/>
      <c r="N138" s="63"/>
      <c r="O138"/>
      <c r="P138"/>
      <c r="Q138"/>
      <c r="R138"/>
      <c r="S138" s="58"/>
      <c r="T138"/>
      <c r="U138"/>
      <c r="V138"/>
      <c r="W138"/>
      <c r="X138"/>
      <c r="Y138"/>
      <c r="Z138"/>
      <c r="AA138"/>
      <c r="AB138"/>
      <c r="AC138"/>
      <c r="AD138"/>
      <c r="AE138"/>
      <c r="AF138"/>
      <c r="AG138"/>
      <c r="AH138"/>
      <c r="AI138"/>
      <c r="AJ138"/>
      <c r="AK138"/>
      <c r="AL138"/>
      <c r="AM138"/>
      <c r="AN138"/>
      <c r="AO138"/>
      <c r="AP138"/>
      <c r="AQ138" s="11"/>
    </row>
    <row r="139" spans="1:43" ht="15">
      <c r="A139" s="11"/>
      <c r="B139" s="11"/>
      <c r="C139" s="11"/>
      <c r="D139" s="11"/>
      <c r="E139" s="11"/>
      <c r="F139" s="11"/>
      <c r="G139" s="11"/>
      <c r="H139" s="11"/>
      <c r="I139" s="11"/>
      <c r="J139" s="11"/>
      <c r="K139" s="11"/>
      <c r="L139" s="11"/>
      <c r="M139" s="11"/>
      <c r="N139" s="63"/>
      <c r="O139"/>
      <c r="P139"/>
      <c r="Q139"/>
      <c r="R139"/>
      <c r="S139" s="58"/>
      <c r="T139"/>
      <c r="U139"/>
      <c r="V139"/>
      <c r="W139"/>
      <c r="X139"/>
      <c r="Y139"/>
      <c r="Z139"/>
      <c r="AA139"/>
      <c r="AB139"/>
      <c r="AC139"/>
      <c r="AD139"/>
      <c r="AE139"/>
      <c r="AF139"/>
      <c r="AG139"/>
      <c r="AH139"/>
      <c r="AI139"/>
      <c r="AJ139"/>
      <c r="AK139"/>
      <c r="AL139"/>
      <c r="AM139"/>
      <c r="AN139"/>
      <c r="AO139"/>
      <c r="AP139"/>
      <c r="AQ139" s="11"/>
    </row>
    <row r="140" spans="1:43" ht="15">
      <c r="A140" s="11"/>
      <c r="B140" s="11"/>
      <c r="C140" s="11"/>
      <c r="D140" s="11"/>
      <c r="E140" s="11"/>
      <c r="F140" s="11"/>
      <c r="G140" s="11"/>
      <c r="H140" s="11"/>
      <c r="I140" s="11"/>
      <c r="J140" s="11"/>
      <c r="K140" s="11"/>
      <c r="L140" s="11"/>
      <c r="M140" s="11"/>
      <c r="N140" s="63"/>
      <c r="O140"/>
      <c r="P140"/>
      <c r="Q140"/>
      <c r="R140"/>
      <c r="S140" s="58"/>
      <c r="T140"/>
      <c r="U140"/>
      <c r="V140"/>
      <c r="W140"/>
      <c r="X140"/>
      <c r="Y140"/>
      <c r="Z140"/>
      <c r="AA140"/>
      <c r="AB140"/>
      <c r="AC140"/>
      <c r="AD140"/>
      <c r="AE140"/>
      <c r="AF140"/>
      <c r="AG140"/>
      <c r="AH140"/>
      <c r="AI140"/>
      <c r="AJ140"/>
      <c r="AK140"/>
      <c r="AL140"/>
      <c r="AM140"/>
      <c r="AN140"/>
      <c r="AO140"/>
      <c r="AP140"/>
      <c r="AQ140" s="11"/>
    </row>
    <row r="141" spans="1:43" ht="15">
      <c r="A141" s="11"/>
      <c r="B141" s="11"/>
      <c r="C141" s="11"/>
      <c r="D141" s="11"/>
      <c r="E141" s="11"/>
      <c r="F141" s="11"/>
      <c r="G141" s="11"/>
      <c r="H141" s="11"/>
      <c r="I141" s="11"/>
      <c r="J141" s="11"/>
      <c r="K141" s="11"/>
      <c r="L141" s="11"/>
      <c r="M141" s="11"/>
      <c r="N141" s="63"/>
      <c r="O141"/>
      <c r="P141"/>
      <c r="Q141"/>
      <c r="R141"/>
      <c r="S141" s="58"/>
      <c r="T141"/>
      <c r="U141"/>
      <c r="V141"/>
      <c r="W141"/>
      <c r="X141"/>
      <c r="Y141"/>
      <c r="Z141"/>
      <c r="AA141"/>
      <c r="AB141"/>
      <c r="AC141"/>
      <c r="AD141"/>
      <c r="AE141"/>
      <c r="AF141"/>
      <c r="AG141"/>
      <c r="AH141"/>
      <c r="AI141"/>
      <c r="AJ141"/>
      <c r="AK141"/>
      <c r="AL141"/>
      <c r="AM141"/>
      <c r="AN141"/>
      <c r="AO141"/>
      <c r="AP141"/>
      <c r="AQ141" s="11"/>
    </row>
    <row r="142" spans="1:43" ht="15">
      <c r="A142" s="11"/>
      <c r="B142" s="11"/>
      <c r="C142" s="11"/>
      <c r="D142" s="11"/>
      <c r="E142" s="11"/>
      <c r="F142" s="11"/>
      <c r="G142" s="11"/>
      <c r="H142" s="11"/>
      <c r="I142" s="11"/>
      <c r="J142" s="11"/>
      <c r="K142" s="11"/>
      <c r="L142" s="11"/>
      <c r="M142" s="11"/>
      <c r="N142" s="63"/>
      <c r="O142"/>
      <c r="P142"/>
      <c r="Q142"/>
      <c r="R142"/>
      <c r="S142" s="58"/>
      <c r="T142"/>
      <c r="U142"/>
      <c r="V142"/>
      <c r="W142"/>
      <c r="X142"/>
      <c r="Y142"/>
      <c r="Z142"/>
      <c r="AA142"/>
      <c r="AB142"/>
      <c r="AC142"/>
      <c r="AD142"/>
      <c r="AE142"/>
      <c r="AF142"/>
      <c r="AG142"/>
      <c r="AH142"/>
      <c r="AI142"/>
      <c r="AJ142"/>
      <c r="AK142"/>
      <c r="AL142"/>
      <c r="AM142"/>
      <c r="AN142"/>
      <c r="AO142"/>
      <c r="AP142"/>
      <c r="AQ142" s="11"/>
    </row>
    <row r="143" spans="1:43" ht="15">
      <c r="A143" s="11"/>
      <c r="B143" s="11"/>
      <c r="C143" s="11"/>
      <c r="D143" s="11"/>
      <c r="E143" s="11"/>
      <c r="F143" s="11"/>
      <c r="G143" s="11"/>
      <c r="H143" s="11"/>
      <c r="I143" s="11"/>
      <c r="J143" s="11"/>
      <c r="K143" s="11"/>
      <c r="L143" s="11"/>
      <c r="M143" s="11"/>
      <c r="N143" s="63"/>
      <c r="O143"/>
      <c r="P143"/>
      <c r="Q143"/>
      <c r="R143"/>
      <c r="S143" s="58"/>
      <c r="T143"/>
      <c r="U143"/>
      <c r="V143"/>
      <c r="W143"/>
      <c r="X143"/>
      <c r="Y143"/>
      <c r="Z143"/>
      <c r="AA143"/>
      <c r="AB143"/>
      <c r="AC143"/>
      <c r="AD143"/>
      <c r="AE143"/>
      <c r="AF143"/>
      <c r="AG143"/>
      <c r="AH143"/>
      <c r="AI143"/>
      <c r="AJ143"/>
      <c r="AK143"/>
      <c r="AL143"/>
      <c r="AM143"/>
      <c r="AN143"/>
      <c r="AO143"/>
      <c r="AP143"/>
      <c r="AQ143" s="11"/>
    </row>
    <row r="144" spans="1:43" ht="15">
      <c r="A144" s="11"/>
      <c r="B144" s="11"/>
      <c r="C144" s="11"/>
      <c r="D144" s="11"/>
      <c r="E144" s="11"/>
      <c r="F144" s="11"/>
      <c r="G144" s="11"/>
      <c r="H144" s="11"/>
      <c r="I144" s="11"/>
      <c r="J144" s="11"/>
      <c r="K144" s="11"/>
      <c r="L144" s="11"/>
      <c r="M144" s="11"/>
      <c r="N144" s="63"/>
      <c r="O144"/>
      <c r="P144"/>
      <c r="Q144"/>
      <c r="R144"/>
      <c r="S144" s="58"/>
      <c r="T144"/>
      <c r="U144"/>
      <c r="V144"/>
      <c r="W144"/>
      <c r="X144"/>
      <c r="Y144"/>
      <c r="Z144"/>
      <c r="AA144"/>
      <c r="AB144"/>
      <c r="AC144"/>
      <c r="AD144"/>
      <c r="AE144"/>
      <c r="AF144"/>
      <c r="AG144"/>
      <c r="AH144"/>
      <c r="AI144"/>
      <c r="AJ144"/>
      <c r="AK144"/>
      <c r="AL144"/>
      <c r="AM144"/>
      <c r="AN144"/>
      <c r="AO144"/>
      <c r="AP144"/>
      <c r="AQ144" s="11"/>
    </row>
    <row r="145" spans="1:43" ht="15">
      <c r="A145" s="11"/>
      <c r="B145" s="11"/>
      <c r="C145" s="11"/>
      <c r="D145" s="11"/>
      <c r="E145" s="11"/>
      <c r="F145" s="11"/>
      <c r="G145" s="11"/>
      <c r="H145" s="11"/>
      <c r="I145" s="11"/>
      <c r="J145" s="11"/>
      <c r="K145" s="11"/>
      <c r="L145" s="11"/>
      <c r="M145" s="11"/>
      <c r="N145" s="63"/>
      <c r="O145"/>
      <c r="P145"/>
      <c r="Q145"/>
      <c r="R145"/>
      <c r="S145" s="58"/>
      <c r="T145"/>
      <c r="U145"/>
      <c r="V145"/>
      <c r="W145"/>
      <c r="X145"/>
      <c r="Y145"/>
      <c r="Z145"/>
      <c r="AA145"/>
      <c r="AB145"/>
      <c r="AC145"/>
      <c r="AD145"/>
      <c r="AE145"/>
      <c r="AF145"/>
      <c r="AG145"/>
      <c r="AH145"/>
      <c r="AI145"/>
      <c r="AJ145"/>
      <c r="AK145"/>
      <c r="AL145"/>
      <c r="AM145"/>
      <c r="AN145"/>
      <c r="AO145"/>
      <c r="AP145"/>
      <c r="AQ145" s="11"/>
    </row>
    <row r="146" spans="1:43" ht="15">
      <c r="A146" s="11"/>
      <c r="B146" s="11"/>
      <c r="C146" s="11"/>
      <c r="D146" s="11"/>
      <c r="E146" s="11"/>
      <c r="F146" s="11"/>
      <c r="G146" s="11"/>
      <c r="H146" s="11"/>
      <c r="I146" s="11"/>
      <c r="J146" s="11"/>
      <c r="K146" s="11"/>
      <c r="L146" s="11"/>
      <c r="M146" s="11"/>
      <c r="N146" s="63"/>
      <c r="O146"/>
      <c r="P146"/>
      <c r="Q146"/>
      <c r="R146"/>
      <c r="S146" s="58"/>
      <c r="T146"/>
      <c r="U146"/>
      <c r="V146"/>
      <c r="W146"/>
      <c r="X146"/>
      <c r="Y146"/>
      <c r="Z146"/>
      <c r="AA146"/>
      <c r="AB146"/>
      <c r="AC146"/>
      <c r="AD146"/>
      <c r="AE146"/>
      <c r="AF146"/>
      <c r="AG146"/>
      <c r="AH146"/>
      <c r="AI146"/>
      <c r="AJ146"/>
      <c r="AK146"/>
      <c r="AL146"/>
      <c r="AM146"/>
      <c r="AN146"/>
      <c r="AO146"/>
      <c r="AP146"/>
      <c r="AQ146" s="11"/>
    </row>
    <row r="147" spans="1:43" ht="15">
      <c r="A147" s="11"/>
      <c r="B147" s="11"/>
      <c r="C147" s="11"/>
      <c r="D147" s="11"/>
      <c r="E147" s="11"/>
      <c r="F147" s="11"/>
      <c r="G147" s="11"/>
      <c r="H147" s="11"/>
      <c r="I147" s="11"/>
      <c r="J147" s="11"/>
      <c r="K147" s="11"/>
      <c r="L147" s="11"/>
      <c r="M147" s="11"/>
      <c r="N147" s="63"/>
      <c r="O147"/>
      <c r="P147"/>
      <c r="Q147"/>
      <c r="R147"/>
      <c r="S147" s="58"/>
      <c r="T147"/>
      <c r="U147"/>
      <c r="V147"/>
      <c r="W147"/>
      <c r="X147"/>
      <c r="Y147"/>
      <c r="Z147"/>
      <c r="AA147"/>
      <c r="AB147"/>
      <c r="AC147"/>
      <c r="AD147"/>
      <c r="AE147"/>
      <c r="AF147"/>
      <c r="AG147"/>
      <c r="AH147"/>
      <c r="AI147"/>
      <c r="AJ147"/>
      <c r="AK147"/>
      <c r="AL147"/>
      <c r="AM147"/>
      <c r="AN147"/>
      <c r="AO147"/>
      <c r="AP147"/>
      <c r="AQ147" s="11"/>
    </row>
    <row r="148" spans="1:43" ht="15">
      <c r="A148" s="11"/>
      <c r="B148" s="11"/>
      <c r="C148" s="11"/>
      <c r="D148" s="11"/>
      <c r="E148" s="11"/>
      <c r="F148" s="11"/>
      <c r="G148" s="11"/>
      <c r="H148" s="11"/>
      <c r="I148" s="11"/>
      <c r="J148" s="11"/>
      <c r="K148" s="11"/>
      <c r="L148" s="11"/>
      <c r="M148" s="11"/>
      <c r="N148" s="63"/>
      <c r="O148"/>
      <c r="P148"/>
      <c r="Q148"/>
      <c r="R148"/>
      <c r="S148" s="58"/>
      <c r="T148"/>
      <c r="U148"/>
      <c r="V148"/>
      <c r="W148"/>
      <c r="X148"/>
      <c r="Y148"/>
      <c r="Z148"/>
      <c r="AA148"/>
      <c r="AB148"/>
      <c r="AC148"/>
      <c r="AD148"/>
      <c r="AE148"/>
      <c r="AF148"/>
      <c r="AG148"/>
      <c r="AH148"/>
      <c r="AI148"/>
      <c r="AJ148"/>
      <c r="AK148"/>
      <c r="AL148"/>
      <c r="AM148"/>
      <c r="AN148"/>
      <c r="AO148"/>
      <c r="AP148"/>
      <c r="AQ148" s="11"/>
    </row>
    <row r="149" spans="1:43" ht="15">
      <c r="A149" s="11"/>
      <c r="B149" s="11"/>
      <c r="C149" s="11"/>
      <c r="D149" s="11"/>
      <c r="E149" s="11"/>
      <c r="F149" s="11"/>
      <c r="G149" s="11"/>
      <c r="H149" s="11"/>
      <c r="I149" s="11"/>
      <c r="J149" s="11"/>
      <c r="K149" s="11"/>
      <c r="L149" s="11"/>
      <c r="M149" s="11"/>
      <c r="N149" s="63"/>
      <c r="O149"/>
      <c r="P149"/>
      <c r="Q149"/>
      <c r="R149"/>
      <c r="S149" s="58"/>
      <c r="T149"/>
      <c r="U149"/>
      <c r="V149"/>
      <c r="W149"/>
      <c r="X149"/>
      <c r="Y149"/>
      <c r="Z149"/>
      <c r="AA149"/>
      <c r="AB149"/>
      <c r="AC149"/>
      <c r="AD149"/>
      <c r="AE149"/>
      <c r="AF149"/>
      <c r="AG149"/>
      <c r="AH149"/>
      <c r="AI149"/>
      <c r="AJ149"/>
      <c r="AK149"/>
      <c r="AL149"/>
      <c r="AM149"/>
      <c r="AN149"/>
      <c r="AO149"/>
      <c r="AP149"/>
      <c r="AQ149" s="11"/>
    </row>
    <row r="150" spans="1:43" ht="15">
      <c r="A150" s="11"/>
      <c r="B150" s="11"/>
      <c r="C150" s="11"/>
      <c r="D150" s="11"/>
      <c r="E150" s="11"/>
      <c r="F150" s="11"/>
      <c r="G150" s="11"/>
      <c r="H150" s="11"/>
      <c r="I150" s="11"/>
      <c r="J150" s="11"/>
      <c r="K150" s="11"/>
      <c r="L150" s="11"/>
      <c r="M150" s="11"/>
      <c r="N150" s="63"/>
      <c r="O150"/>
      <c r="P150"/>
      <c r="Q150"/>
      <c r="R150"/>
      <c r="S150" s="58"/>
      <c r="T150"/>
      <c r="U150"/>
      <c r="V150"/>
      <c r="W150"/>
      <c r="X150"/>
      <c r="Y150"/>
      <c r="Z150"/>
      <c r="AA150"/>
      <c r="AB150"/>
      <c r="AC150"/>
      <c r="AD150"/>
      <c r="AE150"/>
      <c r="AF150"/>
      <c r="AG150"/>
      <c r="AH150"/>
      <c r="AI150"/>
      <c r="AJ150"/>
      <c r="AK150"/>
      <c r="AL150"/>
      <c r="AM150"/>
      <c r="AN150"/>
      <c r="AO150"/>
      <c r="AP150"/>
      <c r="AQ150" s="11"/>
    </row>
    <row r="151" spans="1:43" ht="15">
      <c r="A151" s="11"/>
      <c r="B151" s="11"/>
      <c r="C151" s="11"/>
      <c r="D151" s="11"/>
      <c r="E151" s="11"/>
      <c r="F151" s="11"/>
      <c r="G151" s="11"/>
      <c r="H151" s="11"/>
      <c r="I151" s="11"/>
      <c r="J151" s="11"/>
      <c r="K151" s="11"/>
      <c r="L151" s="11"/>
      <c r="M151" s="11"/>
      <c r="N151" s="63"/>
      <c r="O151"/>
      <c r="P151"/>
      <c r="Q151"/>
      <c r="R151"/>
      <c r="S151" s="58"/>
      <c r="T151"/>
      <c r="U151"/>
      <c r="V151"/>
      <c r="W151"/>
      <c r="X151"/>
      <c r="Y151"/>
      <c r="Z151"/>
      <c r="AA151"/>
      <c r="AB151"/>
      <c r="AC151"/>
      <c r="AD151"/>
      <c r="AE151"/>
      <c r="AF151"/>
      <c r="AG151"/>
      <c r="AH151"/>
      <c r="AI151"/>
      <c r="AJ151"/>
      <c r="AK151"/>
      <c r="AL151"/>
      <c r="AM151"/>
      <c r="AN151"/>
      <c r="AO151"/>
      <c r="AP151"/>
      <c r="AQ151" s="11"/>
    </row>
    <row r="152" spans="1:43" ht="15">
      <c r="A152" s="11"/>
      <c r="B152" s="11"/>
      <c r="C152" s="11"/>
      <c r="D152" s="11"/>
      <c r="E152" s="11"/>
      <c r="F152" s="11"/>
      <c r="G152" s="11"/>
      <c r="H152" s="11"/>
      <c r="I152" s="11"/>
      <c r="J152" s="11"/>
      <c r="K152" s="11"/>
      <c r="L152" s="11"/>
      <c r="M152" s="11"/>
      <c r="N152" s="63"/>
      <c r="O152"/>
      <c r="P152"/>
      <c r="Q152"/>
      <c r="R152"/>
      <c r="S152" s="58"/>
      <c r="T152"/>
      <c r="U152"/>
      <c r="V152"/>
      <c r="W152"/>
      <c r="X152"/>
      <c r="Y152"/>
      <c r="Z152"/>
      <c r="AA152"/>
      <c r="AB152"/>
      <c r="AC152"/>
      <c r="AD152"/>
      <c r="AE152"/>
      <c r="AF152"/>
      <c r="AG152"/>
      <c r="AH152"/>
      <c r="AI152"/>
      <c r="AJ152"/>
      <c r="AK152"/>
      <c r="AL152"/>
      <c r="AM152"/>
      <c r="AN152"/>
      <c r="AO152"/>
      <c r="AP152"/>
      <c r="AQ152" s="11"/>
    </row>
    <row r="153" spans="1:43" ht="15">
      <c r="A153" s="11"/>
      <c r="B153" s="11"/>
      <c r="C153" s="11"/>
      <c r="D153" s="11"/>
      <c r="E153" s="11"/>
      <c r="F153" s="11"/>
      <c r="G153" s="11"/>
      <c r="H153" s="11"/>
      <c r="I153" s="11"/>
      <c r="J153" s="11"/>
      <c r="K153" s="11"/>
      <c r="L153" s="11"/>
      <c r="M153" s="11"/>
      <c r="N153" s="63"/>
      <c r="O153"/>
      <c r="P153"/>
      <c r="Q153"/>
      <c r="R153"/>
      <c r="S153" s="58"/>
      <c r="T153"/>
      <c r="U153"/>
      <c r="V153"/>
      <c r="W153"/>
      <c r="X153"/>
      <c r="Y153"/>
      <c r="Z153"/>
      <c r="AA153"/>
      <c r="AB153"/>
      <c r="AC153"/>
      <c r="AD153"/>
      <c r="AE153"/>
      <c r="AF153"/>
      <c r="AG153"/>
      <c r="AH153"/>
      <c r="AI153"/>
      <c r="AJ153"/>
      <c r="AK153"/>
      <c r="AL153"/>
      <c r="AM153"/>
      <c r="AN153"/>
      <c r="AO153"/>
      <c r="AP153"/>
      <c r="AQ153" s="11"/>
    </row>
    <row r="154" spans="1:43" ht="15">
      <c r="A154" s="11"/>
      <c r="B154" s="11"/>
      <c r="C154" s="11"/>
      <c r="D154" s="11"/>
      <c r="E154" s="11"/>
      <c r="F154" s="11"/>
      <c r="G154" s="11"/>
      <c r="H154" s="11"/>
      <c r="I154" s="11"/>
      <c r="J154" s="11"/>
      <c r="K154" s="11"/>
      <c r="L154" s="11"/>
      <c r="M154" s="11"/>
      <c r="N154" s="63"/>
      <c r="O154"/>
      <c r="P154"/>
      <c r="Q154"/>
      <c r="R154"/>
      <c r="S154" s="58"/>
      <c r="T154"/>
      <c r="U154"/>
      <c r="V154"/>
      <c r="W154"/>
      <c r="X154"/>
      <c r="Y154"/>
      <c r="Z154"/>
      <c r="AA154"/>
      <c r="AB154"/>
      <c r="AC154"/>
      <c r="AD154"/>
      <c r="AE154"/>
      <c r="AF154"/>
      <c r="AG154"/>
      <c r="AH154"/>
      <c r="AI154"/>
      <c r="AJ154"/>
      <c r="AK154"/>
      <c r="AL154"/>
      <c r="AM154"/>
      <c r="AN154"/>
      <c r="AO154"/>
      <c r="AP154"/>
      <c r="AQ154" s="11"/>
    </row>
    <row r="155" spans="1:43" ht="15">
      <c r="A155" s="11"/>
      <c r="B155" s="11"/>
      <c r="C155" s="11"/>
      <c r="D155" s="11"/>
      <c r="E155" s="11"/>
      <c r="F155" s="11"/>
      <c r="G155" s="11"/>
      <c r="H155" s="11"/>
      <c r="I155" s="11"/>
      <c r="J155" s="11"/>
      <c r="K155" s="11"/>
      <c r="L155" s="11"/>
      <c r="M155" s="11"/>
      <c r="N155" s="63"/>
      <c r="O155"/>
      <c r="P155"/>
      <c r="Q155"/>
      <c r="R155"/>
      <c r="S155" s="58"/>
      <c r="T155"/>
      <c r="U155"/>
      <c r="V155"/>
      <c r="W155"/>
      <c r="X155"/>
      <c r="Y155"/>
      <c r="Z155"/>
      <c r="AA155"/>
      <c r="AB155"/>
      <c r="AC155"/>
      <c r="AD155"/>
      <c r="AE155"/>
      <c r="AF155"/>
      <c r="AG155"/>
      <c r="AH155"/>
      <c r="AI155"/>
      <c r="AJ155"/>
      <c r="AK155"/>
      <c r="AL155"/>
      <c r="AM155"/>
      <c r="AN155"/>
      <c r="AO155"/>
      <c r="AP155"/>
      <c r="AQ155" s="11"/>
    </row>
    <row r="156" spans="1:43" ht="15">
      <c r="A156" s="11"/>
      <c r="B156" s="11"/>
      <c r="C156" s="11"/>
      <c r="D156" s="11"/>
      <c r="E156" s="11"/>
      <c r="F156" s="11"/>
      <c r="G156" s="11"/>
      <c r="H156" s="11"/>
      <c r="I156" s="11"/>
      <c r="J156" s="11"/>
      <c r="K156" s="11"/>
      <c r="L156" s="11"/>
      <c r="M156" s="11"/>
      <c r="N156" s="63"/>
      <c r="O156"/>
      <c r="P156"/>
      <c r="Q156"/>
      <c r="R156"/>
      <c r="S156" s="58"/>
      <c r="T156"/>
      <c r="U156"/>
      <c r="V156"/>
      <c r="W156"/>
      <c r="X156"/>
      <c r="Y156"/>
      <c r="Z156"/>
      <c r="AA156"/>
      <c r="AB156"/>
      <c r="AC156"/>
      <c r="AD156"/>
      <c r="AE156"/>
      <c r="AF156"/>
      <c r="AG156"/>
      <c r="AH156"/>
      <c r="AI156"/>
      <c r="AJ156"/>
      <c r="AK156"/>
      <c r="AL156"/>
      <c r="AM156"/>
      <c r="AN156"/>
      <c r="AO156"/>
      <c r="AP156"/>
      <c r="AQ156" s="11"/>
    </row>
    <row r="157" spans="1:43" ht="15">
      <c r="A157" s="11"/>
      <c r="B157" s="11"/>
      <c r="C157" s="11"/>
      <c r="D157" s="11"/>
      <c r="E157" s="11"/>
      <c r="F157" s="11"/>
      <c r="G157" s="11"/>
      <c r="H157" s="11"/>
      <c r="I157" s="11"/>
      <c r="J157" s="11"/>
      <c r="K157" s="11"/>
      <c r="L157" s="11"/>
      <c r="M157" s="11"/>
      <c r="N157" s="63"/>
      <c r="O157"/>
      <c r="P157"/>
      <c r="Q157"/>
      <c r="R157"/>
      <c r="S157" s="58"/>
      <c r="T157"/>
      <c r="U157"/>
      <c r="V157"/>
      <c r="W157"/>
      <c r="X157"/>
      <c r="Y157"/>
      <c r="Z157"/>
      <c r="AA157"/>
      <c r="AB157"/>
      <c r="AC157"/>
      <c r="AD157"/>
      <c r="AE157"/>
      <c r="AF157"/>
      <c r="AG157"/>
      <c r="AH157"/>
      <c r="AI157"/>
      <c r="AJ157"/>
      <c r="AK157"/>
      <c r="AL157"/>
      <c r="AM157"/>
      <c r="AN157"/>
      <c r="AO157"/>
      <c r="AP157"/>
      <c r="AQ157" s="11"/>
    </row>
    <row r="158" spans="1:43">
      <c r="A158" s="11"/>
      <c r="B158" s="11"/>
      <c r="C158" s="11"/>
      <c r="D158" s="11"/>
      <c r="E158" s="11"/>
      <c r="F158" s="11"/>
      <c r="G158" s="11"/>
      <c r="H158" s="11"/>
      <c r="I158" s="11"/>
      <c r="J158" s="11"/>
      <c r="K158" s="11"/>
      <c r="L158" s="11"/>
      <c r="M158" s="11"/>
      <c r="N158" s="63"/>
      <c r="O158" s="11"/>
      <c r="P158" s="11"/>
      <c r="Q158" s="11"/>
      <c r="R158" s="11"/>
      <c r="S158" s="6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row>
    <row r="159" spans="1:43">
      <c r="A159" s="11"/>
      <c r="B159" s="11"/>
      <c r="C159" s="11"/>
      <c r="D159" s="11"/>
      <c r="E159" s="11"/>
      <c r="F159" s="11"/>
      <c r="G159" s="11"/>
      <c r="H159" s="11"/>
      <c r="I159" s="11"/>
      <c r="J159" s="11"/>
      <c r="K159" s="11"/>
      <c r="L159" s="11"/>
      <c r="M159" s="11"/>
      <c r="N159" s="63"/>
      <c r="O159" s="11"/>
      <c r="P159" s="11"/>
      <c r="Q159" s="11"/>
      <c r="R159" s="11"/>
      <c r="S159" s="6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row>
    <row r="160" spans="1:43">
      <c r="A160" s="11"/>
      <c r="B160" s="11"/>
      <c r="C160" s="11"/>
      <c r="D160" s="11"/>
      <c r="E160" s="11"/>
      <c r="F160" s="11"/>
      <c r="G160" s="11"/>
      <c r="H160" s="11"/>
      <c r="I160" s="11"/>
      <c r="J160" s="11"/>
      <c r="K160" s="11"/>
      <c r="L160" s="11"/>
      <c r="M160" s="11"/>
      <c r="N160" s="63"/>
      <c r="O160" s="11"/>
      <c r="P160" s="11"/>
      <c r="Q160" s="11"/>
      <c r="R160" s="11"/>
      <c r="S160" s="61"/>
      <c r="T160" s="11"/>
      <c r="U160" s="11"/>
      <c r="V160" s="11"/>
      <c r="W160" s="11"/>
      <c r="X160" s="11"/>
      <c r="Y160" s="11"/>
      <c r="Z160" s="11"/>
      <c r="AA160" s="11"/>
      <c r="AB160" s="11"/>
      <c r="AC160" s="11"/>
      <c r="AH160" s="11"/>
      <c r="AI160" s="11"/>
      <c r="AJ160" s="11"/>
      <c r="AK160" s="11"/>
      <c r="AL160" s="11"/>
      <c r="AM160" s="11"/>
      <c r="AN160" s="11"/>
      <c r="AO160" s="11"/>
      <c r="AP160" s="11"/>
      <c r="AQ160" s="11"/>
    </row>
    <row r="161" spans="1:43">
      <c r="A161" s="11"/>
      <c r="B161" s="11"/>
      <c r="C161" s="11"/>
      <c r="D161" s="11"/>
      <c r="E161" s="11"/>
      <c r="F161" s="11"/>
      <c r="G161" s="11"/>
      <c r="H161" s="11"/>
      <c r="I161" s="11"/>
      <c r="J161" s="11"/>
      <c r="K161" s="11"/>
      <c r="L161" s="11"/>
      <c r="M161" s="11"/>
      <c r="N161" s="63"/>
      <c r="O161" s="11"/>
      <c r="P161" s="11"/>
      <c r="Q161" s="11"/>
      <c r="R161" s="11"/>
      <c r="S161" s="61"/>
      <c r="T161" s="11"/>
      <c r="U161" s="11"/>
      <c r="V161" s="11"/>
      <c r="W161" s="11"/>
      <c r="X161" s="11"/>
      <c r="Y161" s="11"/>
      <c r="Z161" s="11"/>
      <c r="AA161" s="11"/>
      <c r="AB161" s="11"/>
      <c r="AC161" s="11"/>
      <c r="AH161" s="11"/>
      <c r="AI161" s="11"/>
      <c r="AJ161" s="11"/>
      <c r="AK161" s="11"/>
      <c r="AL161" s="11"/>
      <c r="AM161" s="11"/>
      <c r="AN161" s="11"/>
      <c r="AO161" s="11"/>
      <c r="AP161" s="11"/>
      <c r="AQ161" s="11"/>
    </row>
    <row r="162" spans="1:43">
      <c r="A162" s="11"/>
      <c r="B162" s="11"/>
      <c r="C162" s="11"/>
      <c r="D162" s="11"/>
      <c r="E162" s="11"/>
      <c r="F162" s="11"/>
      <c r="G162" s="11"/>
      <c r="H162" s="11"/>
      <c r="I162" s="11"/>
      <c r="J162" s="11"/>
      <c r="K162" s="11"/>
      <c r="L162" s="11"/>
      <c r="M162" s="11"/>
      <c r="N162" s="63"/>
      <c r="O162" s="11"/>
      <c r="P162" s="11"/>
      <c r="Q162" s="11"/>
      <c r="R162" s="11"/>
      <c r="S162" s="61"/>
      <c r="T162" s="11"/>
      <c r="U162" s="11"/>
      <c r="V162" s="11"/>
      <c r="W162" s="11"/>
      <c r="X162" s="11"/>
      <c r="Y162" s="11"/>
      <c r="Z162" s="11"/>
      <c r="AA162" s="11"/>
      <c r="AB162" s="11"/>
      <c r="AC162" s="11"/>
      <c r="AH162" s="11"/>
      <c r="AI162" s="11"/>
      <c r="AJ162" s="11"/>
      <c r="AK162" s="11"/>
      <c r="AL162" s="11"/>
      <c r="AM162" s="11"/>
      <c r="AN162" s="11"/>
      <c r="AO162" s="11"/>
      <c r="AP162" s="11"/>
      <c r="AQ162" s="11"/>
    </row>
    <row r="163" spans="1:43">
      <c r="A163" s="11"/>
      <c r="B163" s="11"/>
      <c r="C163" s="11"/>
      <c r="D163" s="11"/>
      <c r="E163" s="11"/>
      <c r="F163" s="11"/>
      <c r="G163" s="11"/>
      <c r="H163" s="11"/>
      <c r="I163" s="11"/>
      <c r="J163" s="11"/>
      <c r="K163" s="11"/>
      <c r="L163" s="11"/>
      <c r="M163" s="11"/>
      <c r="N163" s="63"/>
      <c r="O163" s="11"/>
      <c r="P163" s="11"/>
      <c r="Q163" s="11"/>
      <c r="R163" s="11"/>
      <c r="S163" s="61"/>
      <c r="T163" s="11"/>
      <c r="U163" s="11"/>
      <c r="V163" s="11"/>
      <c r="W163" s="11"/>
      <c r="X163" s="11"/>
      <c r="Y163" s="11"/>
      <c r="Z163" s="11"/>
      <c r="AA163" s="11"/>
      <c r="AB163" s="11"/>
      <c r="AC163" s="11"/>
      <c r="AH163" s="11"/>
      <c r="AI163" s="11"/>
      <c r="AJ163" s="11"/>
      <c r="AK163" s="11"/>
      <c r="AL163" s="11"/>
      <c r="AM163" s="11"/>
      <c r="AN163" s="11"/>
      <c r="AO163" s="11"/>
      <c r="AP163" s="11"/>
      <c r="AQ163" s="11"/>
    </row>
    <row r="164" spans="1:43">
      <c r="A164" s="11"/>
      <c r="B164" s="11"/>
      <c r="C164" s="11"/>
      <c r="D164" s="11"/>
      <c r="E164" s="11"/>
      <c r="F164" s="11"/>
      <c r="G164" s="11"/>
      <c r="H164" s="11"/>
      <c r="I164" s="11"/>
      <c r="J164" s="11"/>
      <c r="K164" s="11"/>
      <c r="L164" s="11"/>
      <c r="M164" s="11"/>
      <c r="N164" s="63"/>
      <c r="O164" s="11"/>
      <c r="P164" s="11"/>
      <c r="Q164" s="11"/>
      <c r="R164" s="11"/>
      <c r="S164" s="61"/>
      <c r="T164" s="11"/>
      <c r="U164" s="11"/>
      <c r="V164" s="11"/>
      <c r="W164" s="11"/>
      <c r="X164" s="11"/>
      <c r="Y164" s="11"/>
      <c r="Z164" s="11"/>
      <c r="AA164" s="11"/>
      <c r="AB164" s="11"/>
      <c r="AC164" s="11"/>
      <c r="AH164" s="11"/>
      <c r="AI164" s="11"/>
      <c r="AJ164" s="11"/>
      <c r="AK164" s="11"/>
      <c r="AL164" s="11"/>
      <c r="AM164" s="11"/>
      <c r="AN164" s="11"/>
      <c r="AO164" s="11"/>
      <c r="AP164" s="11"/>
      <c r="AQ164" s="11"/>
    </row>
    <row r="165" spans="1:43">
      <c r="A165" s="11"/>
      <c r="B165" s="11"/>
      <c r="C165" s="11"/>
      <c r="D165" s="11"/>
      <c r="E165" s="11"/>
      <c r="F165" s="11"/>
      <c r="G165" s="11"/>
      <c r="H165" s="11"/>
      <c r="I165" s="11"/>
      <c r="J165" s="11"/>
      <c r="K165" s="11"/>
      <c r="L165" s="11"/>
      <c r="M165" s="11"/>
      <c r="N165" s="63"/>
      <c r="O165" s="11"/>
      <c r="P165" s="11"/>
      <c r="Q165" s="11"/>
      <c r="R165" s="11"/>
      <c r="S165" s="61"/>
      <c r="T165" s="11"/>
      <c r="U165" s="11"/>
      <c r="V165" s="11"/>
      <c r="W165" s="11"/>
      <c r="X165" s="11"/>
      <c r="Y165" s="11"/>
      <c r="Z165" s="11"/>
      <c r="AA165" s="11"/>
      <c r="AB165" s="11"/>
      <c r="AC165" s="11"/>
      <c r="AH165" s="11"/>
      <c r="AI165" s="11"/>
      <c r="AJ165" s="11"/>
      <c r="AK165" s="11"/>
      <c r="AL165" s="11"/>
      <c r="AM165" s="11"/>
      <c r="AN165" s="11"/>
      <c r="AO165" s="11"/>
      <c r="AP165" s="11"/>
      <c r="AQ165" s="11"/>
    </row>
    <row r="166" spans="1:43">
      <c r="A166" s="11"/>
      <c r="B166" s="11"/>
      <c r="C166" s="11"/>
      <c r="D166" s="11"/>
      <c r="E166" s="11"/>
      <c r="F166" s="11"/>
      <c r="G166" s="11"/>
      <c r="H166" s="11"/>
      <c r="I166" s="11"/>
      <c r="J166" s="11"/>
      <c r="K166" s="11"/>
      <c r="L166" s="11"/>
      <c r="M166" s="11"/>
      <c r="N166" s="63"/>
      <c r="O166" s="11"/>
      <c r="P166" s="11"/>
      <c r="Q166" s="11"/>
      <c r="R166" s="11"/>
      <c r="S166" s="61"/>
      <c r="T166" s="11"/>
      <c r="U166" s="11"/>
      <c r="V166" s="11"/>
      <c r="W166" s="11"/>
      <c r="X166" s="11"/>
      <c r="Y166" s="11"/>
      <c r="Z166" s="11"/>
      <c r="AA166" s="11"/>
      <c r="AB166" s="11"/>
      <c r="AC166" s="11"/>
      <c r="AH166" s="11"/>
      <c r="AI166" s="11"/>
      <c r="AJ166" s="11"/>
      <c r="AK166" s="11"/>
      <c r="AL166" s="11"/>
      <c r="AM166" s="11"/>
      <c r="AN166" s="11"/>
      <c r="AO166" s="11"/>
      <c r="AP166" s="11"/>
      <c r="AQ166" s="11"/>
    </row>
    <row r="167" spans="1:43">
      <c r="A167" s="11"/>
      <c r="B167" s="11"/>
      <c r="C167" s="11"/>
      <c r="D167" s="11"/>
      <c r="E167" s="11"/>
      <c r="F167" s="11"/>
      <c r="G167" s="11"/>
      <c r="H167" s="11"/>
      <c r="I167" s="11"/>
      <c r="J167" s="11"/>
      <c r="K167" s="11"/>
      <c r="L167" s="11"/>
      <c r="M167" s="11"/>
      <c r="N167" s="63"/>
      <c r="O167" s="11"/>
      <c r="P167" s="11"/>
      <c r="Q167" s="11"/>
      <c r="R167" s="11"/>
      <c r="S167" s="61"/>
      <c r="T167" s="11"/>
      <c r="U167" s="11"/>
      <c r="V167" s="11"/>
      <c r="W167" s="11"/>
      <c r="X167" s="11"/>
      <c r="Y167" s="11"/>
      <c r="Z167" s="11"/>
      <c r="AA167" s="11"/>
      <c r="AB167" s="11"/>
      <c r="AC167" s="11"/>
      <c r="AH167" s="11"/>
      <c r="AI167" s="11"/>
      <c r="AJ167" s="11"/>
      <c r="AK167" s="11"/>
      <c r="AL167" s="11"/>
      <c r="AM167" s="11"/>
      <c r="AN167" s="11"/>
      <c r="AO167" s="11"/>
      <c r="AP167" s="11"/>
      <c r="AQ167" s="11"/>
    </row>
    <row r="168" spans="1:43">
      <c r="A168" s="11"/>
      <c r="D168" s="11"/>
      <c r="E168" s="11"/>
      <c r="F168" s="11"/>
      <c r="G168" s="11"/>
      <c r="H168" s="11"/>
      <c r="I168" s="11"/>
      <c r="J168" s="11"/>
      <c r="K168" s="11"/>
      <c r="L168" s="11"/>
      <c r="M168" s="11"/>
      <c r="N168" s="63"/>
      <c r="O168" s="11"/>
      <c r="P168" s="11"/>
      <c r="Q168" s="11"/>
      <c r="R168" s="11"/>
      <c r="S168" s="61"/>
      <c r="T168" s="11"/>
      <c r="U168" s="11"/>
      <c r="V168" s="11"/>
      <c r="W168" s="11"/>
      <c r="X168" s="11"/>
      <c r="Y168" s="11"/>
      <c r="Z168" s="11"/>
      <c r="AA168" s="11"/>
      <c r="AB168" s="11"/>
      <c r="AC168" s="11"/>
      <c r="AH168" s="11"/>
      <c r="AI168" s="11"/>
      <c r="AJ168" s="11"/>
      <c r="AK168" s="11"/>
      <c r="AL168" s="11"/>
      <c r="AM168" s="11"/>
      <c r="AN168" s="11"/>
      <c r="AO168" s="11"/>
      <c r="AP168" s="11"/>
      <c r="AQ168" s="11"/>
    </row>
    <row r="169" spans="1:43">
      <c r="A169" s="11"/>
      <c r="D169" s="11"/>
      <c r="E169" s="11"/>
      <c r="F169" s="11"/>
      <c r="G169" s="11"/>
      <c r="H169" s="11"/>
      <c r="I169" s="11"/>
      <c r="J169" s="11"/>
      <c r="K169" s="11"/>
      <c r="L169" s="11"/>
      <c r="M169" s="11"/>
      <c r="N169" s="63"/>
      <c r="O169" s="11"/>
      <c r="P169" s="11"/>
      <c r="Q169" s="11"/>
      <c r="R169" s="11"/>
      <c r="S169" s="61"/>
      <c r="T169" s="11"/>
      <c r="U169" s="11"/>
      <c r="V169" s="11"/>
      <c r="W169" s="11"/>
      <c r="X169" s="11"/>
      <c r="Y169" s="11"/>
      <c r="Z169" s="11"/>
      <c r="AA169" s="11"/>
      <c r="AB169" s="11"/>
      <c r="AC169" s="11"/>
      <c r="AH169" s="11"/>
      <c r="AI169" s="11"/>
      <c r="AJ169" s="11"/>
      <c r="AK169" s="11"/>
      <c r="AL169" s="11"/>
      <c r="AM169" s="11"/>
      <c r="AN169" s="11"/>
      <c r="AO169" s="11"/>
      <c r="AP169" s="11"/>
      <c r="AQ169" s="11"/>
    </row>
  </sheetData>
  <mergeCells count="65">
    <mergeCell ref="Q68:R68"/>
    <mergeCell ref="P69:P74"/>
    <mergeCell ref="Q74:R74"/>
    <mergeCell ref="P75:P80"/>
    <mergeCell ref="Q80:R80"/>
    <mergeCell ref="L64:M64"/>
    <mergeCell ref="Q82:R82"/>
    <mergeCell ref="L73:M73"/>
    <mergeCell ref="K45:K50"/>
    <mergeCell ref="L50:M50"/>
    <mergeCell ref="K51:K56"/>
    <mergeCell ref="L56:M56"/>
    <mergeCell ref="K57:K62"/>
    <mergeCell ref="L62:M62"/>
    <mergeCell ref="P45:P50"/>
    <mergeCell ref="Q50:R50"/>
    <mergeCell ref="P51:P56"/>
    <mergeCell ref="Q56:R56"/>
    <mergeCell ref="P57:P62"/>
    <mergeCell ref="Q62:R62"/>
    <mergeCell ref="P63:P68"/>
    <mergeCell ref="P10:S10"/>
    <mergeCell ref="P12:P18"/>
    <mergeCell ref="Q18:R18"/>
    <mergeCell ref="P19:P25"/>
    <mergeCell ref="Q25:R25"/>
    <mergeCell ref="P26:P32"/>
    <mergeCell ref="Q32:R32"/>
    <mergeCell ref="P33:P38"/>
    <mergeCell ref="Q38:R38"/>
    <mergeCell ref="P39:P44"/>
    <mergeCell ref="Q44:R44"/>
    <mergeCell ref="G50:H50"/>
    <mergeCell ref="B21:C21"/>
    <mergeCell ref="K26:K32"/>
    <mergeCell ref="L32:M32"/>
    <mergeCell ref="K33:K38"/>
    <mergeCell ref="L38:M38"/>
    <mergeCell ref="G38:H38"/>
    <mergeCell ref="K39:K44"/>
    <mergeCell ref="L44:M44"/>
    <mergeCell ref="F39:F44"/>
    <mergeCell ref="G44:H44"/>
    <mergeCell ref="G46:H46"/>
    <mergeCell ref="G47:H47"/>
    <mergeCell ref="F26:F32"/>
    <mergeCell ref="G32:H32"/>
    <mergeCell ref="F33:F38"/>
    <mergeCell ref="K10:N10"/>
    <mergeCell ref="K12:K18"/>
    <mergeCell ref="L18:M18"/>
    <mergeCell ref="K19:K25"/>
    <mergeCell ref="L25:M25"/>
    <mergeCell ref="F10:I10"/>
    <mergeCell ref="G25:H25"/>
    <mergeCell ref="G18:H18"/>
    <mergeCell ref="F12:F18"/>
    <mergeCell ref="F19:F25"/>
    <mergeCell ref="B9:C9"/>
    <mergeCell ref="A96:A97"/>
    <mergeCell ref="A99:A100"/>
    <mergeCell ref="A101:A103"/>
    <mergeCell ref="C32:D32"/>
    <mergeCell ref="C40:D40"/>
    <mergeCell ref="B32:B4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39023-7D5F-43DE-9DE5-403FB1292AC2}">
  <sheetPr>
    <tabColor rgb="FFFFC000"/>
  </sheetPr>
  <dimension ref="A1:BJ166"/>
  <sheetViews>
    <sheetView topLeftCell="V97" zoomScale="85" zoomScaleNormal="85" workbookViewId="0">
      <selection activeCell="R76" sqref="N71:R76"/>
    </sheetView>
  </sheetViews>
  <sheetFormatPr defaultColWidth="10.7109375" defaultRowHeight="35.1" customHeight="1"/>
  <cols>
    <col min="1" max="1" width="10.7109375" style="1"/>
    <col min="2" max="2" width="39.7109375" style="1" customWidth="1"/>
    <col min="3" max="3" width="41" style="1" customWidth="1"/>
    <col min="4" max="4" width="33.7109375" style="1" customWidth="1"/>
    <col min="5" max="5" width="22.42578125" style="1" customWidth="1"/>
    <col min="6" max="7" width="27.42578125" style="1" customWidth="1"/>
    <col min="8" max="8" width="25.140625" style="1" customWidth="1"/>
    <col min="9" max="9" width="59.7109375" style="1" customWidth="1"/>
    <col min="10" max="10" width="30.7109375" style="1" customWidth="1"/>
    <col min="11" max="14" width="23.7109375" style="1" customWidth="1"/>
    <col min="15" max="15" width="20.42578125" style="1" customWidth="1"/>
    <col min="16" max="16" width="27.140625" style="1" customWidth="1"/>
    <col min="17" max="17" width="59.7109375" style="1" customWidth="1"/>
    <col min="18" max="22" width="23.7109375" style="1" customWidth="1"/>
    <col min="23" max="23" width="20" style="1" customWidth="1"/>
    <col min="24" max="24" width="28.28515625" style="1" customWidth="1"/>
    <col min="25" max="25" width="61.85546875" style="1" customWidth="1"/>
    <col min="26" max="30" width="23.7109375" style="1" customWidth="1"/>
    <col min="31" max="31" width="28.7109375" style="1" customWidth="1"/>
    <col min="32" max="32" width="24.7109375" style="1" customWidth="1"/>
    <col min="33" max="33" width="10.7109375" style="1"/>
    <col min="34" max="34" width="29" style="1" customWidth="1"/>
    <col min="35" max="35" width="21.28515625" style="1" customWidth="1"/>
    <col min="36" max="36" width="61.28515625" style="1" customWidth="1"/>
    <col min="37" max="37" width="20.7109375" style="1" customWidth="1"/>
    <col min="38" max="38" width="23.140625" style="1" customWidth="1"/>
    <col min="39" max="39" width="23" style="1" customWidth="1"/>
    <col min="40" max="40" width="20.140625" style="1" customWidth="1"/>
    <col min="41" max="41" width="26.42578125" style="1" customWidth="1"/>
    <col min="42" max="42" width="10.7109375" style="1"/>
    <col min="43" max="43" width="31.42578125" style="1" customWidth="1"/>
    <col min="44" max="44" width="21.42578125" style="1" customWidth="1"/>
    <col min="45" max="45" width="55.28515625" style="1" customWidth="1"/>
    <col min="46" max="46" width="24.42578125" style="1" customWidth="1"/>
    <col min="47" max="47" width="20.28515625" style="1" customWidth="1"/>
    <col min="48" max="48" width="20.42578125" style="1" customWidth="1"/>
    <col min="49" max="49" width="23.7109375" style="1" customWidth="1"/>
    <col min="50" max="50" width="24" style="1" customWidth="1"/>
    <col min="51" max="51" width="10.7109375" style="1"/>
    <col min="52" max="52" width="30.42578125" style="1" customWidth="1"/>
    <col min="53" max="53" width="20.7109375" style="1" customWidth="1"/>
    <col min="54" max="54" width="58.28515625" style="1" customWidth="1"/>
    <col min="55" max="55" width="22.7109375" style="1" customWidth="1"/>
    <col min="56" max="57" width="24" style="1" customWidth="1"/>
    <col min="58" max="58" width="27.42578125" style="1" customWidth="1"/>
    <col min="59" max="59" width="28.28515625" style="1" customWidth="1"/>
    <col min="60" max="16384" width="10.7109375" style="1"/>
  </cols>
  <sheetData>
    <row r="1" spans="1:62" s="258" customFormat="1" ht="22.9" customHeight="1">
      <c r="B1" s="259"/>
    </row>
    <row r="2" spans="1:62" s="258" customFormat="1" ht="22.9" customHeight="1">
      <c r="B2" s="259"/>
      <c r="C2" s="330" t="s">
        <v>369</v>
      </c>
      <c r="D2" s="260"/>
    </row>
    <row r="3" spans="1:62" s="258" customFormat="1" ht="22.9" customHeight="1">
      <c r="B3" s="259"/>
      <c r="C3" s="330" t="s">
        <v>381</v>
      </c>
      <c r="D3" s="260"/>
    </row>
    <row r="4" spans="1:62" s="258" customFormat="1" ht="22.9" customHeight="1">
      <c r="B4" s="259"/>
      <c r="C4" s="261"/>
    </row>
    <row r="5" spans="1:62" s="68" customFormat="1" ht="22.9" customHeight="1">
      <c r="B5" s="69"/>
      <c r="C5" s="70"/>
    </row>
    <row r="6" spans="1:62" ht="21" customHeight="1">
      <c r="A6" s="11"/>
      <c r="B6" s="11"/>
      <c r="C6" s="11"/>
      <c r="D6" s="11"/>
      <c r="E6" s="11"/>
      <c r="F6" s="11"/>
      <c r="G6" s="11"/>
      <c r="H6" s="11"/>
      <c r="I6" s="11"/>
      <c r="J6" s="11"/>
      <c r="K6" s="18"/>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c r="AQ6"/>
      <c r="AR6"/>
      <c r="AS6"/>
      <c r="AT6"/>
      <c r="AU6"/>
      <c r="AV6"/>
      <c r="AW6"/>
      <c r="AX6"/>
      <c r="AY6"/>
      <c r="AZ6"/>
      <c r="BA6"/>
      <c r="BB6"/>
      <c r="BC6"/>
      <c r="BD6"/>
      <c r="BE6"/>
      <c r="BF6"/>
      <c r="BG6"/>
      <c r="BH6"/>
      <c r="BI6"/>
      <c r="BJ6"/>
    </row>
    <row r="7" spans="1:62" ht="21" customHeight="1">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c r="AQ7"/>
      <c r="AR7"/>
      <c r="AS7"/>
      <c r="AT7"/>
      <c r="AU7"/>
      <c r="AV7"/>
      <c r="AW7"/>
      <c r="AX7"/>
      <c r="AY7"/>
      <c r="AZ7"/>
      <c r="BA7"/>
      <c r="BB7"/>
      <c r="BC7"/>
      <c r="BD7"/>
      <c r="BE7"/>
      <c r="BF7"/>
      <c r="BG7"/>
      <c r="BH7"/>
      <c r="BI7"/>
      <c r="BJ7"/>
    </row>
    <row r="8" spans="1:62" ht="21" customHeight="1">
      <c r="A8" s="11"/>
      <c r="B8" s="11"/>
      <c r="C8" s="11"/>
      <c r="D8" s="120"/>
      <c r="E8" s="11"/>
      <c r="F8"/>
      <c r="G8"/>
      <c r="H8" s="630" t="s">
        <v>95</v>
      </c>
      <c r="I8" s="630"/>
      <c r="J8" s="630"/>
      <c r="K8" s="630"/>
      <c r="L8" s="630"/>
      <c r="M8" s="630"/>
      <c r="N8" s="630"/>
      <c r="O8"/>
      <c r="P8" s="630" t="s">
        <v>96</v>
      </c>
      <c r="Q8" s="630"/>
      <c r="R8" s="630"/>
      <c r="S8" s="630"/>
      <c r="T8" s="630"/>
      <c r="U8" s="630"/>
      <c r="V8" s="630"/>
      <c r="W8"/>
      <c r="X8" s="630" t="s">
        <v>97</v>
      </c>
      <c r="Y8" s="630"/>
      <c r="Z8" s="630"/>
      <c r="AA8" s="630"/>
      <c r="AB8" s="630"/>
      <c r="AC8" s="630"/>
      <c r="AD8" s="630"/>
      <c r="AE8"/>
      <c r="AF8"/>
      <c r="AG8"/>
      <c r="AH8"/>
      <c r="AI8"/>
      <c r="AJ8"/>
      <c r="AK8"/>
      <c r="AL8"/>
      <c r="AM8"/>
      <c r="AN8"/>
      <c r="AO8"/>
      <c r="AP8"/>
      <c r="AQ8"/>
      <c r="AR8"/>
      <c r="AS8"/>
      <c r="AT8"/>
      <c r="AU8"/>
      <c r="AV8"/>
      <c r="AW8"/>
      <c r="AX8"/>
      <c r="AY8"/>
      <c r="AZ8"/>
      <c r="BA8"/>
      <c r="BB8"/>
      <c r="BC8"/>
      <c r="BD8"/>
      <c r="BE8"/>
      <c r="BF8"/>
      <c r="BG8"/>
      <c r="BH8"/>
      <c r="BI8"/>
      <c r="BJ8"/>
    </row>
    <row r="9" spans="1:62" ht="21" customHeight="1">
      <c r="A9" s="11"/>
      <c r="B9" s="668" t="s">
        <v>120</v>
      </c>
      <c r="C9" s="668"/>
      <c r="D9" s="11"/>
      <c r="E9" s="11"/>
      <c r="F9"/>
      <c r="G9"/>
      <c r="H9" s="483" t="s">
        <v>99</v>
      </c>
      <c r="I9" s="483" t="s">
        <v>93</v>
      </c>
      <c r="J9" s="484" t="s">
        <v>11</v>
      </c>
      <c r="K9" s="484" t="s">
        <v>12</v>
      </c>
      <c r="L9" s="484" t="s">
        <v>13</v>
      </c>
      <c r="M9" s="484" t="s">
        <v>14</v>
      </c>
      <c r="N9" s="484" t="s">
        <v>15</v>
      </c>
      <c r="O9"/>
      <c r="P9" s="483" t="s">
        <v>99</v>
      </c>
      <c r="Q9" s="483" t="s">
        <v>93</v>
      </c>
      <c r="R9" s="484" t="s">
        <v>11</v>
      </c>
      <c r="S9" s="484" t="s">
        <v>12</v>
      </c>
      <c r="T9" s="484" t="s">
        <v>13</v>
      </c>
      <c r="U9" s="484" t="s">
        <v>14</v>
      </c>
      <c r="V9" s="484" t="s">
        <v>15</v>
      </c>
      <c r="W9"/>
      <c r="X9" s="483" t="s">
        <v>99</v>
      </c>
      <c r="Y9" s="483" t="s">
        <v>93</v>
      </c>
      <c r="Z9" s="484" t="s">
        <v>11</v>
      </c>
      <c r="AA9" s="484" t="s">
        <v>12</v>
      </c>
      <c r="AB9" s="484" t="s">
        <v>13</v>
      </c>
      <c r="AC9" s="484" t="s">
        <v>14</v>
      </c>
      <c r="AD9" s="484" t="s">
        <v>15</v>
      </c>
      <c r="AE9"/>
      <c r="AF9"/>
      <c r="AG9"/>
      <c r="AH9"/>
      <c r="AI9"/>
      <c r="AJ9"/>
      <c r="AK9"/>
      <c r="AL9"/>
      <c r="AM9"/>
      <c r="AN9"/>
      <c r="AO9"/>
      <c r="AP9"/>
      <c r="AQ9"/>
      <c r="AR9"/>
      <c r="AS9"/>
      <c r="AT9"/>
      <c r="AU9"/>
      <c r="AV9"/>
      <c r="AW9"/>
      <c r="AX9"/>
      <c r="AY9"/>
      <c r="AZ9"/>
      <c r="BA9"/>
      <c r="BB9"/>
      <c r="BC9"/>
      <c r="BD9"/>
      <c r="BE9"/>
      <c r="BF9"/>
      <c r="BG9"/>
      <c r="BH9"/>
      <c r="BI9"/>
      <c r="BJ9"/>
    </row>
    <row r="10" spans="1:62" ht="21" customHeight="1">
      <c r="A10" s="11"/>
      <c r="B10" s="121" t="s">
        <v>121</v>
      </c>
      <c r="C10" s="362">
        <f>Questions!C47</f>
        <v>20000</v>
      </c>
      <c r="D10" s="11"/>
      <c r="E10" s="11"/>
      <c r="F10"/>
      <c r="G10"/>
      <c r="H10" s="632" t="s">
        <v>329</v>
      </c>
      <c r="I10" s="128" t="s">
        <v>122</v>
      </c>
      <c r="J10" s="485">
        <f>(C10*C29)/2</f>
        <v>78937.736195560603</v>
      </c>
      <c r="K10" s="485">
        <f>J10*(1+Dashboard!$D$16)</f>
        <v>82884.623005338639</v>
      </c>
      <c r="L10" s="485">
        <f>K10*(1+Dashboard!$D$16)</f>
        <v>87028.854155605572</v>
      </c>
      <c r="M10" s="485">
        <f>L10*(1+Dashboard!$D$16)</f>
        <v>91380.296863385855</v>
      </c>
      <c r="N10" s="485">
        <f>M10*(1+Dashboard!$D$16)</f>
        <v>95949.311706555149</v>
      </c>
      <c r="O10"/>
      <c r="P10" s="632" t="s">
        <v>329</v>
      </c>
      <c r="Q10" s="128" t="s">
        <v>122</v>
      </c>
      <c r="R10" s="485">
        <f>J10</f>
        <v>78937.736195560603</v>
      </c>
      <c r="S10" s="485">
        <f>K10</f>
        <v>82884.623005338639</v>
      </c>
      <c r="T10" s="485">
        <f t="shared" ref="T10:V10" si="0">L10</f>
        <v>87028.854155605572</v>
      </c>
      <c r="U10" s="485">
        <f t="shared" si="0"/>
        <v>91380.296863385855</v>
      </c>
      <c r="V10" s="485">
        <f t="shared" si="0"/>
        <v>95949.311706555149</v>
      </c>
      <c r="W10"/>
      <c r="X10" s="632" t="s">
        <v>329</v>
      </c>
      <c r="Y10" s="128" t="s">
        <v>122</v>
      </c>
      <c r="Z10" s="485">
        <f>R10</f>
        <v>78937.736195560603</v>
      </c>
      <c r="AA10" s="485">
        <f>S10</f>
        <v>82884.623005338639</v>
      </c>
      <c r="AB10" s="485">
        <f t="shared" ref="AB10:AB50" si="1">T10</f>
        <v>87028.854155605572</v>
      </c>
      <c r="AC10" s="485">
        <f t="shared" ref="AC10:AC50" si="2">U10</f>
        <v>91380.296863385855</v>
      </c>
      <c r="AD10" s="485">
        <f t="shared" ref="AD10:AD50" si="3">V10</f>
        <v>95949.311706555149</v>
      </c>
      <c r="AE10"/>
      <c r="AF10"/>
      <c r="AG10"/>
      <c r="AH10"/>
      <c r="AI10"/>
      <c r="AJ10"/>
      <c r="AK10"/>
      <c r="AL10"/>
      <c r="AM10"/>
      <c r="AN10"/>
      <c r="AO10"/>
      <c r="AP10"/>
      <c r="AQ10"/>
      <c r="AR10"/>
      <c r="AS10"/>
      <c r="AT10"/>
      <c r="AU10"/>
      <c r="AV10"/>
      <c r="AW10"/>
      <c r="AX10"/>
      <c r="AY10"/>
      <c r="AZ10"/>
      <c r="BA10"/>
      <c r="BB10"/>
      <c r="BC10"/>
      <c r="BD10"/>
      <c r="BE10"/>
      <c r="BF10"/>
      <c r="BG10"/>
      <c r="BH10"/>
      <c r="BI10"/>
      <c r="BJ10"/>
    </row>
    <row r="11" spans="1:62" ht="21" customHeight="1">
      <c r="A11" s="11"/>
      <c r="B11" s="14" t="s">
        <v>123</v>
      </c>
      <c r="C11" s="362">
        <f>Questions!C48</f>
        <v>1.6</v>
      </c>
      <c r="D11" s="11"/>
      <c r="E11" s="11"/>
      <c r="F11"/>
      <c r="G11"/>
      <c r="H11" s="632"/>
      <c r="I11" s="128" t="s">
        <v>124</v>
      </c>
      <c r="J11" s="485">
        <f>(C83+C82+C85)/3</f>
        <v>21143.3015748654</v>
      </c>
      <c r="K11" s="485">
        <f>J11*(1+Dashboard!$D$16)</f>
        <v>22200.46665360867</v>
      </c>
      <c r="L11" s="485">
        <f>K11*(1+Dashboard!$D$16)</f>
        <v>23310.489986289103</v>
      </c>
      <c r="M11" s="485">
        <f>L11*(1+Dashboard!$D$16)</f>
        <v>24476.014485603559</v>
      </c>
      <c r="N11" s="485">
        <f>M11*(1+Dashboard!$D$16)</f>
        <v>25699.815209883738</v>
      </c>
      <c r="O11"/>
      <c r="P11" s="632"/>
      <c r="Q11" s="128" t="s">
        <v>124</v>
      </c>
      <c r="R11" s="485">
        <f t="shared" ref="R11:R49" si="4">J11</f>
        <v>21143.3015748654</v>
      </c>
      <c r="S11" s="485">
        <f t="shared" ref="S11:S49" si="5">K11</f>
        <v>22200.46665360867</v>
      </c>
      <c r="T11" s="485">
        <f t="shared" ref="T11:T49" si="6">L11</f>
        <v>23310.489986289103</v>
      </c>
      <c r="U11" s="485">
        <f t="shared" ref="U11:U49" si="7">M11</f>
        <v>24476.014485603559</v>
      </c>
      <c r="V11" s="485">
        <f t="shared" ref="V11:V49" si="8">N11</f>
        <v>25699.815209883738</v>
      </c>
      <c r="W11"/>
      <c r="X11" s="632"/>
      <c r="Y11" s="128" t="s">
        <v>124</v>
      </c>
      <c r="Z11" s="485">
        <f t="shared" ref="Z11:Z36" si="9">R11</f>
        <v>21143.3015748654</v>
      </c>
      <c r="AA11" s="485">
        <f t="shared" ref="AA11:AA50" si="10">S11</f>
        <v>22200.46665360867</v>
      </c>
      <c r="AB11" s="485">
        <f t="shared" si="1"/>
        <v>23310.489986289103</v>
      </c>
      <c r="AC11" s="485">
        <f t="shared" si="2"/>
        <v>24476.014485603559</v>
      </c>
      <c r="AD11" s="485">
        <f t="shared" si="3"/>
        <v>25699.815209883738</v>
      </c>
      <c r="AE11"/>
      <c r="AF11"/>
      <c r="AG11"/>
      <c r="AH11"/>
      <c r="AI11"/>
      <c r="AJ11"/>
      <c r="AK11"/>
      <c r="AL11"/>
      <c r="AM11"/>
      <c r="AN11"/>
      <c r="AO11"/>
      <c r="AP11"/>
      <c r="AQ11"/>
      <c r="AR11"/>
      <c r="AS11"/>
      <c r="AT11"/>
      <c r="AU11"/>
      <c r="AV11"/>
      <c r="AW11"/>
      <c r="AX11"/>
      <c r="AY11"/>
      <c r="AZ11"/>
      <c r="BA11"/>
      <c r="BB11"/>
      <c r="BC11"/>
      <c r="BD11"/>
      <c r="BE11"/>
      <c r="BF11"/>
      <c r="BG11"/>
      <c r="BH11"/>
      <c r="BI11"/>
      <c r="BJ11"/>
    </row>
    <row r="12" spans="1:62" ht="21" customHeight="1">
      <c r="A12" s="11"/>
      <c r="B12" s="14" t="s">
        <v>125</v>
      </c>
      <c r="C12" s="362">
        <f>Questions!C49</f>
        <v>0.5</v>
      </c>
      <c r="D12" s="11"/>
      <c r="E12" s="11"/>
      <c r="F12"/>
      <c r="G12"/>
      <c r="H12" s="632"/>
      <c r="I12" s="128" t="s">
        <v>126</v>
      </c>
      <c r="J12" s="485">
        <f>(E65*C10)/2</f>
        <v>58216.580444225947</v>
      </c>
      <c r="K12" s="485">
        <f>J12*(1+Dashboard!$D$16)</f>
        <v>61127.409466437246</v>
      </c>
      <c r="L12" s="485">
        <f>K12*(1+Dashboard!$D$16)</f>
        <v>64183.779939759108</v>
      </c>
      <c r="M12" s="485">
        <f>L12*(1+Dashboard!$D$16)</f>
        <v>67392.968936747071</v>
      </c>
      <c r="N12" s="485">
        <f>M12*(1+Dashboard!$D$16)</f>
        <v>70762.617383584424</v>
      </c>
      <c r="O12"/>
      <c r="P12" s="632"/>
      <c r="Q12" s="128" t="s">
        <v>126</v>
      </c>
      <c r="R12" s="485">
        <f t="shared" si="4"/>
        <v>58216.580444225947</v>
      </c>
      <c r="S12" s="485">
        <f t="shared" si="5"/>
        <v>61127.409466437246</v>
      </c>
      <c r="T12" s="485">
        <f t="shared" si="6"/>
        <v>64183.779939759108</v>
      </c>
      <c r="U12" s="485">
        <f t="shared" si="7"/>
        <v>67392.968936747071</v>
      </c>
      <c r="V12" s="485">
        <f t="shared" si="8"/>
        <v>70762.617383584424</v>
      </c>
      <c r="W12"/>
      <c r="X12" s="632"/>
      <c r="Y12" s="128" t="s">
        <v>126</v>
      </c>
      <c r="Z12" s="485">
        <f t="shared" si="9"/>
        <v>58216.580444225947</v>
      </c>
      <c r="AA12" s="485">
        <f t="shared" si="10"/>
        <v>61127.409466437246</v>
      </c>
      <c r="AB12" s="485">
        <f t="shared" si="1"/>
        <v>64183.779939759108</v>
      </c>
      <c r="AC12" s="485">
        <f t="shared" si="2"/>
        <v>67392.968936747071</v>
      </c>
      <c r="AD12" s="485">
        <f t="shared" si="3"/>
        <v>70762.617383584424</v>
      </c>
      <c r="AE12"/>
      <c r="AF12"/>
      <c r="AG12"/>
      <c r="AH12"/>
      <c r="AI12"/>
      <c r="AJ12"/>
      <c r="AK12"/>
      <c r="AL12"/>
      <c r="AM12"/>
      <c r="AN12"/>
      <c r="AO12"/>
      <c r="AP12"/>
      <c r="AQ12"/>
      <c r="AR12"/>
      <c r="AS12"/>
      <c r="AT12"/>
      <c r="AU12"/>
      <c r="AV12"/>
      <c r="AW12"/>
      <c r="AX12"/>
      <c r="AY12"/>
      <c r="AZ12"/>
      <c r="BA12"/>
      <c r="BB12"/>
      <c r="BC12"/>
      <c r="BD12"/>
      <c r="BE12"/>
      <c r="BF12"/>
      <c r="BG12"/>
      <c r="BH12"/>
      <c r="BI12"/>
      <c r="BJ12"/>
    </row>
    <row r="13" spans="1:62" ht="21" customHeight="1">
      <c r="A13" s="11"/>
      <c r="D13" s="11"/>
      <c r="E13" s="11"/>
      <c r="F13"/>
      <c r="G13"/>
      <c r="H13" s="632"/>
      <c r="I13" s="128" t="s">
        <v>127</v>
      </c>
      <c r="J13" s="485">
        <f>(F45*D65)/2</f>
        <v>44710.333781165529</v>
      </c>
      <c r="K13" s="485">
        <f>J13*(1+Dashboard!$D$16)</f>
        <v>46945.850470223806</v>
      </c>
      <c r="L13" s="485">
        <f>K13*(1+Dashboard!$D$16)</f>
        <v>49293.142993734997</v>
      </c>
      <c r="M13" s="485">
        <f>L13*(1+Dashboard!$D$16)</f>
        <v>51757.800143421751</v>
      </c>
      <c r="N13" s="485">
        <f>M13*(1+Dashboard!$D$16)</f>
        <v>54345.69015059284</v>
      </c>
      <c r="O13"/>
      <c r="P13" s="632"/>
      <c r="Q13" s="128" t="s">
        <v>128</v>
      </c>
      <c r="R13" s="485">
        <f t="shared" si="4"/>
        <v>44710.333781165529</v>
      </c>
      <c r="S13" s="485">
        <f t="shared" si="5"/>
        <v>46945.850470223806</v>
      </c>
      <c r="T13" s="485">
        <f t="shared" si="6"/>
        <v>49293.142993734997</v>
      </c>
      <c r="U13" s="485">
        <f t="shared" si="7"/>
        <v>51757.800143421751</v>
      </c>
      <c r="V13" s="485">
        <f t="shared" si="8"/>
        <v>54345.69015059284</v>
      </c>
      <c r="W13"/>
      <c r="X13" s="632"/>
      <c r="Y13" s="128" t="s">
        <v>128</v>
      </c>
      <c r="Z13" s="485">
        <f t="shared" si="9"/>
        <v>44710.333781165529</v>
      </c>
      <c r="AA13" s="485">
        <f t="shared" si="10"/>
        <v>46945.850470223806</v>
      </c>
      <c r="AB13" s="485">
        <f t="shared" si="1"/>
        <v>49293.142993734997</v>
      </c>
      <c r="AC13" s="485">
        <f t="shared" si="2"/>
        <v>51757.800143421751</v>
      </c>
      <c r="AD13" s="485">
        <f t="shared" si="3"/>
        <v>54345.69015059284</v>
      </c>
      <c r="AE13"/>
      <c r="AF13"/>
      <c r="AG13"/>
      <c r="AH13"/>
      <c r="AI13"/>
      <c r="AJ13"/>
      <c r="AK13"/>
      <c r="AL13"/>
      <c r="AM13"/>
      <c r="AN13"/>
      <c r="AO13"/>
      <c r="AP13"/>
      <c r="AQ13"/>
      <c r="AR13"/>
      <c r="AS13"/>
      <c r="AT13"/>
      <c r="AU13"/>
      <c r="AV13"/>
      <c r="AW13"/>
      <c r="AX13"/>
      <c r="AY13"/>
      <c r="AZ13"/>
      <c r="BA13"/>
      <c r="BB13"/>
      <c r="BC13"/>
      <c r="BD13"/>
      <c r="BE13"/>
      <c r="BF13"/>
      <c r="BG13"/>
      <c r="BH13"/>
      <c r="BI13"/>
      <c r="BJ13"/>
    </row>
    <row r="14" spans="1:62" ht="21" customHeight="1">
      <c r="A14" s="11"/>
      <c r="B14" s="11"/>
      <c r="C14" s="11"/>
      <c r="D14" s="11"/>
      <c r="E14" s="11"/>
      <c r="F14"/>
      <c r="G14"/>
      <c r="H14" s="632"/>
      <c r="I14" s="128" t="s">
        <v>129</v>
      </c>
      <c r="J14" s="485">
        <f>H76</f>
        <v>0</v>
      </c>
      <c r="K14" s="485">
        <f>J14*(1+Dashboard!$D$16)</f>
        <v>0</v>
      </c>
      <c r="L14" s="485">
        <f>K14*(1+Dashboard!$D$16)</f>
        <v>0</v>
      </c>
      <c r="M14" s="485">
        <f>L14*(1+Dashboard!$D$16)</f>
        <v>0</v>
      </c>
      <c r="N14" s="485">
        <f>M14*(1+Dashboard!$D$16)</f>
        <v>0</v>
      </c>
      <c r="O14"/>
      <c r="P14" s="632"/>
      <c r="Q14" s="128" t="s">
        <v>129</v>
      </c>
      <c r="R14" s="485">
        <f t="shared" si="4"/>
        <v>0</v>
      </c>
      <c r="S14" s="485">
        <f t="shared" si="5"/>
        <v>0</v>
      </c>
      <c r="T14" s="485">
        <f t="shared" si="6"/>
        <v>0</v>
      </c>
      <c r="U14" s="485">
        <f t="shared" si="7"/>
        <v>0</v>
      </c>
      <c r="V14" s="485">
        <f t="shared" si="8"/>
        <v>0</v>
      </c>
      <c r="W14"/>
      <c r="X14" s="632"/>
      <c r="Y14" s="128" t="s">
        <v>129</v>
      </c>
      <c r="Z14" s="485">
        <f t="shared" si="9"/>
        <v>0</v>
      </c>
      <c r="AA14" s="485">
        <f t="shared" si="10"/>
        <v>0</v>
      </c>
      <c r="AB14" s="485">
        <f t="shared" si="1"/>
        <v>0</v>
      </c>
      <c r="AC14" s="485">
        <f t="shared" si="2"/>
        <v>0</v>
      </c>
      <c r="AD14" s="485">
        <f t="shared" si="3"/>
        <v>0</v>
      </c>
      <c r="AE14"/>
      <c r="AF14"/>
      <c r="AG14"/>
      <c r="AH14"/>
      <c r="AI14"/>
      <c r="AJ14"/>
      <c r="AK14"/>
      <c r="AL14"/>
      <c r="AM14"/>
      <c r="AN14"/>
      <c r="AO14"/>
      <c r="AP14"/>
      <c r="AQ14"/>
      <c r="AR14"/>
      <c r="AS14"/>
      <c r="AT14"/>
      <c r="AU14"/>
      <c r="AV14"/>
      <c r="AW14"/>
      <c r="AX14"/>
      <c r="AY14"/>
      <c r="AZ14"/>
      <c r="BA14"/>
      <c r="BB14"/>
      <c r="BC14"/>
      <c r="BD14"/>
      <c r="BE14"/>
      <c r="BF14"/>
      <c r="BG14"/>
      <c r="BH14"/>
      <c r="BI14"/>
      <c r="BJ14"/>
    </row>
    <row r="15" spans="1:62" ht="21" customHeight="1">
      <c r="A15" s="11"/>
      <c r="D15" s="11"/>
      <c r="E15" s="11"/>
      <c r="F15"/>
      <c r="G15"/>
      <c r="H15" s="632"/>
      <c r="I15" s="128" t="s">
        <v>130</v>
      </c>
      <c r="J15" s="524">
        <f>Questions!C$50</f>
        <v>42000</v>
      </c>
      <c r="K15" s="485">
        <f>J15*(1+Dashboard!$D$16)</f>
        <v>44100</v>
      </c>
      <c r="L15" s="485">
        <f>K15*(1+Dashboard!$D$16)</f>
        <v>46305</v>
      </c>
      <c r="M15" s="485">
        <f>L15*(1+Dashboard!$D$16)</f>
        <v>48620.25</v>
      </c>
      <c r="N15" s="485">
        <f>M15*(1+Dashboard!$D$16)</f>
        <v>51051.262500000004</v>
      </c>
      <c r="O15"/>
      <c r="P15" s="632"/>
      <c r="Q15" s="128" t="s">
        <v>130</v>
      </c>
      <c r="R15" s="524">
        <f>Questions!$C$50</f>
        <v>42000</v>
      </c>
      <c r="S15" s="485">
        <f t="shared" si="5"/>
        <v>44100</v>
      </c>
      <c r="T15" s="485">
        <f t="shared" si="6"/>
        <v>46305</v>
      </c>
      <c r="U15" s="485">
        <f t="shared" si="7"/>
        <v>48620.25</v>
      </c>
      <c r="V15" s="485">
        <f t="shared" si="8"/>
        <v>51051.262500000004</v>
      </c>
      <c r="W15"/>
      <c r="X15" s="632"/>
      <c r="Y15" s="128" t="s">
        <v>130</v>
      </c>
      <c r="Z15" s="524">
        <f t="shared" si="9"/>
        <v>42000</v>
      </c>
      <c r="AA15" s="485">
        <f t="shared" si="10"/>
        <v>44100</v>
      </c>
      <c r="AB15" s="485">
        <f t="shared" si="1"/>
        <v>46305</v>
      </c>
      <c r="AC15" s="485">
        <f t="shared" si="2"/>
        <v>48620.25</v>
      </c>
      <c r="AD15" s="485">
        <f t="shared" si="3"/>
        <v>51051.262500000004</v>
      </c>
      <c r="AE15"/>
      <c r="AF15"/>
      <c r="AG15"/>
      <c r="AH15"/>
      <c r="AI15"/>
      <c r="AJ15"/>
      <c r="AK15"/>
      <c r="AL15"/>
      <c r="AM15"/>
      <c r="AN15"/>
      <c r="AO15"/>
      <c r="AP15"/>
      <c r="AQ15"/>
      <c r="AR15"/>
      <c r="AS15"/>
      <c r="AT15"/>
      <c r="AU15"/>
      <c r="AV15"/>
      <c r="AW15"/>
      <c r="AX15"/>
      <c r="AY15"/>
      <c r="AZ15"/>
      <c r="BA15"/>
      <c r="BB15"/>
      <c r="BC15"/>
      <c r="BD15"/>
      <c r="BE15"/>
      <c r="BF15"/>
      <c r="BG15"/>
      <c r="BH15"/>
      <c r="BI15"/>
      <c r="BJ15"/>
    </row>
    <row r="16" spans="1:62" ht="21" customHeight="1">
      <c r="A16" s="11"/>
      <c r="B16" s="673" t="s">
        <v>386</v>
      </c>
      <c r="C16" s="673"/>
      <c r="D16" s="673"/>
      <c r="E16" s="673"/>
      <c r="F16" s="673"/>
      <c r="G16"/>
      <c r="H16" s="632"/>
      <c r="I16" s="128" t="s">
        <v>131</v>
      </c>
      <c r="J16" s="524">
        <v>264000</v>
      </c>
      <c r="K16" s="485">
        <f>J16*(1+Dashboard!$D$16)</f>
        <v>277200</v>
      </c>
      <c r="L16" s="485">
        <f>K16*(1+Dashboard!$D$16)</f>
        <v>291060</v>
      </c>
      <c r="M16" s="485">
        <f>L16*(1+Dashboard!$D$16)</f>
        <v>305613</v>
      </c>
      <c r="N16" s="485">
        <f>M16*(1+Dashboard!$D$16)</f>
        <v>320893.65000000002</v>
      </c>
      <c r="O16"/>
      <c r="P16" s="632"/>
      <c r="Q16" s="128" t="s">
        <v>131</v>
      </c>
      <c r="R16" s="524">
        <f t="shared" si="4"/>
        <v>264000</v>
      </c>
      <c r="S16" s="485">
        <f t="shared" si="5"/>
        <v>277200</v>
      </c>
      <c r="T16" s="485">
        <f t="shared" si="6"/>
        <v>291060</v>
      </c>
      <c r="U16" s="485">
        <f t="shared" si="7"/>
        <v>305613</v>
      </c>
      <c r="V16" s="485">
        <f t="shared" si="8"/>
        <v>320893.65000000002</v>
      </c>
      <c r="W16"/>
      <c r="X16" s="632"/>
      <c r="Y16" s="128" t="s">
        <v>131</v>
      </c>
      <c r="Z16" s="524">
        <f t="shared" si="9"/>
        <v>264000</v>
      </c>
      <c r="AA16" s="485">
        <f t="shared" si="10"/>
        <v>277200</v>
      </c>
      <c r="AB16" s="485">
        <f t="shared" si="1"/>
        <v>291060</v>
      </c>
      <c r="AC16" s="485">
        <f t="shared" si="2"/>
        <v>305613</v>
      </c>
      <c r="AD16" s="485">
        <f t="shared" si="3"/>
        <v>320893.65000000002</v>
      </c>
      <c r="AE16"/>
      <c r="AF16"/>
      <c r="AG16"/>
      <c r="AH16"/>
      <c r="AI16"/>
      <c r="AJ16"/>
      <c r="AK16"/>
      <c r="AL16"/>
      <c r="AM16"/>
      <c r="AN16"/>
      <c r="AO16"/>
      <c r="AP16"/>
      <c r="AQ16"/>
      <c r="AR16"/>
      <c r="AS16"/>
      <c r="AT16"/>
      <c r="AU16"/>
      <c r="AV16"/>
      <c r="AW16"/>
      <c r="AX16"/>
      <c r="AY16"/>
      <c r="AZ16"/>
      <c r="BA16"/>
      <c r="BB16"/>
      <c r="BC16"/>
      <c r="BD16"/>
      <c r="BE16"/>
      <c r="BF16"/>
      <c r="BG16"/>
      <c r="BH16"/>
      <c r="BI16"/>
      <c r="BJ16"/>
    </row>
    <row r="17" spans="1:62" ht="21" customHeight="1">
      <c r="A17" s="11"/>
      <c r="B17" s="674" t="s">
        <v>132</v>
      </c>
      <c r="C17" s="674"/>
      <c r="D17" s="674"/>
      <c r="E17" s="674"/>
      <c r="F17" s="674"/>
      <c r="G17"/>
      <c r="H17" s="632"/>
      <c r="I17" s="360" t="s">
        <v>20</v>
      </c>
      <c r="J17" s="486">
        <f>SUM(J10:J16)</f>
        <v>509007.95199581748</v>
      </c>
      <c r="K17" s="486">
        <f>SUM(K10:K16)</f>
        <v>534458.34959560842</v>
      </c>
      <c r="L17" s="486">
        <f>SUM(L10:L16)</f>
        <v>561181.26707538881</v>
      </c>
      <c r="M17" s="486">
        <f>SUM(M10:M16)</f>
        <v>589240.33042915817</v>
      </c>
      <c r="N17" s="486">
        <f>SUM(N10:N16)</f>
        <v>618702.34695061622</v>
      </c>
      <c r="O17"/>
      <c r="P17" s="632"/>
      <c r="Q17" s="360" t="s">
        <v>20</v>
      </c>
      <c r="R17" s="486">
        <f t="shared" si="4"/>
        <v>509007.95199581748</v>
      </c>
      <c r="S17" s="486">
        <f t="shared" si="5"/>
        <v>534458.34959560842</v>
      </c>
      <c r="T17" s="486">
        <f t="shared" si="6"/>
        <v>561181.26707538881</v>
      </c>
      <c r="U17" s="486">
        <f t="shared" si="7"/>
        <v>589240.33042915817</v>
      </c>
      <c r="V17" s="486">
        <f t="shared" si="8"/>
        <v>618702.34695061622</v>
      </c>
      <c r="W17" s="11"/>
      <c r="X17" s="632"/>
      <c r="Y17" s="360" t="s">
        <v>20</v>
      </c>
      <c r="Z17" s="486">
        <f t="shared" si="9"/>
        <v>509007.95199581748</v>
      </c>
      <c r="AA17" s="486">
        <f t="shared" si="10"/>
        <v>534458.34959560842</v>
      </c>
      <c r="AB17" s="486">
        <f t="shared" si="1"/>
        <v>561181.26707538881</v>
      </c>
      <c r="AC17" s="486">
        <f t="shared" si="2"/>
        <v>589240.33042915817</v>
      </c>
      <c r="AD17" s="486">
        <f t="shared" si="3"/>
        <v>618702.34695061622</v>
      </c>
      <c r="AE17"/>
      <c r="AF17"/>
      <c r="AG17"/>
      <c r="AH17"/>
      <c r="AI17"/>
      <c r="AJ17"/>
      <c r="AK17"/>
      <c r="AL17"/>
      <c r="AM17"/>
      <c r="AN17"/>
      <c r="AO17"/>
      <c r="AP17"/>
      <c r="AQ17"/>
      <c r="AR17"/>
      <c r="AS17"/>
      <c r="AT17"/>
      <c r="AU17"/>
      <c r="AV17"/>
      <c r="AW17"/>
      <c r="AX17"/>
      <c r="AY17"/>
      <c r="AZ17"/>
      <c r="BA17"/>
      <c r="BB17"/>
      <c r="BC17"/>
      <c r="BD17"/>
      <c r="BE17"/>
      <c r="BF17"/>
      <c r="BG17"/>
      <c r="BH17"/>
      <c r="BI17"/>
      <c r="BJ17"/>
    </row>
    <row r="18" spans="1:62" ht="21" customHeight="1">
      <c r="A18" s="11"/>
      <c r="B18" s="669" t="s">
        <v>133</v>
      </c>
      <c r="C18" s="670"/>
      <c r="D18" s="361">
        <f>Questions!C51</f>
        <v>48</v>
      </c>
      <c r="E18" s="11"/>
      <c r="F18"/>
      <c r="G18"/>
      <c r="H18" s="633" t="s">
        <v>330</v>
      </c>
      <c r="I18" s="128" t="s">
        <v>122</v>
      </c>
      <c r="J18" s="485">
        <f>J10</f>
        <v>78937.736195560603</v>
      </c>
      <c r="K18" s="485">
        <f>J18*(1+Dashboard!$D$16)</f>
        <v>82884.623005338639</v>
      </c>
      <c r="L18" s="485">
        <f>K18*(1+Dashboard!$D$16)</f>
        <v>87028.854155605572</v>
      </c>
      <c r="M18" s="485">
        <f>L18*(1+Dashboard!$D$16)</f>
        <v>91380.296863385855</v>
      </c>
      <c r="N18" s="485">
        <f>M18*(1+Dashboard!$D$16)</f>
        <v>95949.311706555149</v>
      </c>
      <c r="O18"/>
      <c r="P18" s="633" t="s">
        <v>330</v>
      </c>
      <c r="Q18" s="128" t="s">
        <v>122</v>
      </c>
      <c r="R18" s="485">
        <f t="shared" si="4"/>
        <v>78937.736195560603</v>
      </c>
      <c r="S18" s="485">
        <f t="shared" si="5"/>
        <v>82884.623005338639</v>
      </c>
      <c r="T18" s="485">
        <f t="shared" si="6"/>
        <v>87028.854155605572</v>
      </c>
      <c r="U18" s="485">
        <f t="shared" si="7"/>
        <v>91380.296863385855</v>
      </c>
      <c r="V18" s="485">
        <f t="shared" si="8"/>
        <v>95949.311706555149</v>
      </c>
      <c r="W18" s="11"/>
      <c r="X18" s="633" t="s">
        <v>330</v>
      </c>
      <c r="Y18" s="128" t="s">
        <v>122</v>
      </c>
      <c r="Z18" s="485">
        <f t="shared" si="9"/>
        <v>78937.736195560603</v>
      </c>
      <c r="AA18" s="485">
        <f t="shared" si="10"/>
        <v>82884.623005338639</v>
      </c>
      <c r="AB18" s="485">
        <f t="shared" si="1"/>
        <v>87028.854155605572</v>
      </c>
      <c r="AC18" s="485">
        <f t="shared" si="2"/>
        <v>91380.296863385855</v>
      </c>
      <c r="AD18" s="485">
        <f t="shared" si="3"/>
        <v>95949.311706555149</v>
      </c>
      <c r="AE18"/>
      <c r="AF18"/>
      <c r="AG18"/>
      <c r="AH18"/>
      <c r="AI18"/>
      <c r="AJ18"/>
      <c r="AK18"/>
      <c r="AL18"/>
      <c r="AM18"/>
      <c r="AN18"/>
      <c r="AO18"/>
      <c r="AP18"/>
      <c r="AQ18"/>
      <c r="AR18"/>
      <c r="AS18"/>
      <c r="AT18"/>
      <c r="AU18"/>
      <c r="AV18"/>
      <c r="AW18"/>
      <c r="AX18"/>
      <c r="AY18"/>
      <c r="AZ18"/>
      <c r="BA18"/>
      <c r="BB18"/>
      <c r="BC18"/>
      <c r="BD18"/>
      <c r="BE18"/>
      <c r="BF18"/>
      <c r="BG18"/>
      <c r="BH18"/>
      <c r="BI18"/>
      <c r="BJ18"/>
    </row>
    <row r="19" spans="1:62" ht="21" customHeight="1">
      <c r="A19" s="11"/>
      <c r="B19" s="671" t="s">
        <v>134</v>
      </c>
      <c r="C19" s="672"/>
      <c r="D19" s="361">
        <f>Questions!C52</f>
        <v>40</v>
      </c>
      <c r="E19" s="11"/>
      <c r="F19"/>
      <c r="G19"/>
      <c r="H19" s="633"/>
      <c r="I19" s="128" t="s">
        <v>124</v>
      </c>
      <c r="J19" s="485">
        <f>J11</f>
        <v>21143.3015748654</v>
      </c>
      <c r="K19" s="485">
        <f>J19*(1+Dashboard!$D$16)</f>
        <v>22200.46665360867</v>
      </c>
      <c r="L19" s="485">
        <f>K19*(1+Dashboard!$D$16)</f>
        <v>23310.489986289103</v>
      </c>
      <c r="M19" s="485">
        <f>L19*(1+Dashboard!$D$16)</f>
        <v>24476.014485603559</v>
      </c>
      <c r="N19" s="485">
        <f>M19*(1+Dashboard!$D$16)</f>
        <v>25699.815209883738</v>
      </c>
      <c r="O19"/>
      <c r="P19" s="633"/>
      <c r="Q19" s="128" t="s">
        <v>124</v>
      </c>
      <c r="R19" s="485">
        <f t="shared" si="4"/>
        <v>21143.3015748654</v>
      </c>
      <c r="S19" s="485">
        <f t="shared" si="5"/>
        <v>22200.46665360867</v>
      </c>
      <c r="T19" s="485">
        <f t="shared" si="6"/>
        <v>23310.489986289103</v>
      </c>
      <c r="U19" s="485">
        <f t="shared" si="7"/>
        <v>24476.014485603559</v>
      </c>
      <c r="V19" s="485">
        <f t="shared" si="8"/>
        <v>25699.815209883738</v>
      </c>
      <c r="W19" s="11"/>
      <c r="X19" s="633"/>
      <c r="Y19" s="128" t="s">
        <v>124</v>
      </c>
      <c r="Z19" s="485">
        <f t="shared" si="9"/>
        <v>21143.3015748654</v>
      </c>
      <c r="AA19" s="485">
        <f t="shared" si="10"/>
        <v>22200.46665360867</v>
      </c>
      <c r="AB19" s="485">
        <f t="shared" si="1"/>
        <v>23310.489986289103</v>
      </c>
      <c r="AC19" s="485">
        <f t="shared" si="2"/>
        <v>24476.014485603559</v>
      </c>
      <c r="AD19" s="485">
        <f t="shared" si="3"/>
        <v>25699.815209883738</v>
      </c>
      <c r="AE19"/>
      <c r="AF19"/>
      <c r="AG19"/>
      <c r="AH19"/>
      <c r="AI19"/>
      <c r="AJ19"/>
      <c r="AK19"/>
      <c r="AL19"/>
      <c r="AM19"/>
      <c r="AN19"/>
      <c r="AO19"/>
      <c r="AP19"/>
      <c r="AQ19"/>
      <c r="AR19"/>
      <c r="AS19"/>
      <c r="AT19"/>
      <c r="AU19"/>
      <c r="AV19"/>
      <c r="AW19"/>
      <c r="AX19"/>
      <c r="AY19"/>
      <c r="AZ19"/>
      <c r="BA19"/>
      <c r="BB19"/>
      <c r="BC19"/>
      <c r="BD19"/>
      <c r="BE19"/>
      <c r="BF19"/>
      <c r="BG19"/>
      <c r="BH19"/>
      <c r="BI19"/>
      <c r="BJ19"/>
    </row>
    <row r="20" spans="1:62" ht="21" customHeight="1">
      <c r="A20" s="11"/>
      <c r="B20" s="11"/>
      <c r="C20" s="11"/>
      <c r="D20" s="11"/>
      <c r="E20" s="11"/>
      <c r="F20"/>
      <c r="G20"/>
      <c r="H20" s="633"/>
      <c r="I20" s="128" t="s">
        <v>126</v>
      </c>
      <c r="J20" s="485">
        <f>J12</f>
        <v>58216.580444225947</v>
      </c>
      <c r="K20" s="485">
        <f>J20*(1+Dashboard!$D$16)</f>
        <v>61127.409466437246</v>
      </c>
      <c r="L20" s="485">
        <f>K20*(1+Dashboard!$D$16)</f>
        <v>64183.779939759108</v>
      </c>
      <c r="M20" s="485">
        <f>L20*(1+Dashboard!$D$16)</f>
        <v>67392.968936747071</v>
      </c>
      <c r="N20" s="485">
        <f>M20*(1+Dashboard!$D$16)</f>
        <v>70762.617383584424</v>
      </c>
      <c r="O20"/>
      <c r="P20" s="633"/>
      <c r="Q20" s="128" t="s">
        <v>126</v>
      </c>
      <c r="R20" s="485">
        <f t="shared" si="4"/>
        <v>58216.580444225947</v>
      </c>
      <c r="S20" s="485">
        <f t="shared" si="5"/>
        <v>61127.409466437246</v>
      </c>
      <c r="T20" s="485">
        <f t="shared" si="6"/>
        <v>64183.779939759108</v>
      </c>
      <c r="U20" s="485">
        <f t="shared" si="7"/>
        <v>67392.968936747071</v>
      </c>
      <c r="V20" s="485">
        <f t="shared" si="8"/>
        <v>70762.617383584424</v>
      </c>
      <c r="W20" s="11"/>
      <c r="X20" s="633"/>
      <c r="Y20" s="128" t="s">
        <v>126</v>
      </c>
      <c r="Z20" s="485">
        <f t="shared" si="9"/>
        <v>58216.580444225947</v>
      </c>
      <c r="AA20" s="485">
        <f t="shared" si="10"/>
        <v>61127.409466437246</v>
      </c>
      <c r="AB20" s="485">
        <f t="shared" si="1"/>
        <v>64183.779939759108</v>
      </c>
      <c r="AC20" s="485">
        <f t="shared" si="2"/>
        <v>67392.968936747071</v>
      </c>
      <c r="AD20" s="485">
        <f t="shared" si="3"/>
        <v>70762.617383584424</v>
      </c>
      <c r="AE20"/>
      <c r="AF20"/>
      <c r="AG20"/>
      <c r="AH20"/>
      <c r="AI20"/>
      <c r="AJ20"/>
      <c r="AK20"/>
      <c r="AL20"/>
      <c r="AM20"/>
      <c r="AN20"/>
      <c r="AO20"/>
      <c r="AP20"/>
      <c r="AQ20"/>
      <c r="AR20"/>
      <c r="AS20"/>
      <c r="AT20"/>
      <c r="AU20"/>
      <c r="AV20"/>
      <c r="AW20"/>
      <c r="AX20"/>
      <c r="AY20"/>
      <c r="AZ20"/>
      <c r="BA20"/>
      <c r="BB20"/>
      <c r="BC20"/>
      <c r="BD20"/>
      <c r="BE20"/>
      <c r="BF20"/>
      <c r="BG20"/>
      <c r="BH20"/>
      <c r="BI20"/>
      <c r="BJ20"/>
    </row>
    <row r="21" spans="1:62" ht="21" customHeight="1">
      <c r="A21" s="11"/>
      <c r="B21" s="122" t="s">
        <v>135</v>
      </c>
      <c r="C21" s="123" t="s">
        <v>136</v>
      </c>
      <c r="D21" s="124" t="s">
        <v>137</v>
      </c>
      <c r="E21" s="11"/>
      <c r="F21" s="19"/>
      <c r="G21" s="19"/>
      <c r="H21" s="633"/>
      <c r="I21" s="128" t="s">
        <v>127</v>
      </c>
      <c r="J21" s="485">
        <f>J13</f>
        <v>44710.333781165529</v>
      </c>
      <c r="K21" s="485">
        <f>J21*(1+Dashboard!$D$16)</f>
        <v>46945.850470223806</v>
      </c>
      <c r="L21" s="485">
        <f>K21*(1+Dashboard!$D$16)</f>
        <v>49293.142993734997</v>
      </c>
      <c r="M21" s="485">
        <f>L21*(1+Dashboard!$D$16)</f>
        <v>51757.800143421751</v>
      </c>
      <c r="N21" s="485">
        <f>M21*(1+Dashboard!$D$16)</f>
        <v>54345.69015059284</v>
      </c>
      <c r="O21"/>
      <c r="P21" s="633"/>
      <c r="Q21" s="128" t="s">
        <v>128</v>
      </c>
      <c r="R21" s="485">
        <f t="shared" si="4"/>
        <v>44710.333781165529</v>
      </c>
      <c r="S21" s="485">
        <f t="shared" si="5"/>
        <v>46945.850470223806</v>
      </c>
      <c r="T21" s="485">
        <f t="shared" si="6"/>
        <v>49293.142993734997</v>
      </c>
      <c r="U21" s="485">
        <f t="shared" si="7"/>
        <v>51757.800143421751</v>
      </c>
      <c r="V21" s="485">
        <f t="shared" si="8"/>
        <v>54345.69015059284</v>
      </c>
      <c r="W21" s="11"/>
      <c r="X21" s="633"/>
      <c r="Y21" s="128" t="s">
        <v>128</v>
      </c>
      <c r="Z21" s="485">
        <f t="shared" si="9"/>
        <v>44710.333781165529</v>
      </c>
      <c r="AA21" s="485">
        <f t="shared" si="10"/>
        <v>46945.850470223806</v>
      </c>
      <c r="AB21" s="485">
        <f t="shared" si="1"/>
        <v>49293.142993734997</v>
      </c>
      <c r="AC21" s="485">
        <f t="shared" si="2"/>
        <v>51757.800143421751</v>
      </c>
      <c r="AD21" s="485">
        <f t="shared" si="3"/>
        <v>54345.69015059284</v>
      </c>
      <c r="AE21"/>
      <c r="AF21"/>
      <c r="AG21"/>
      <c r="AH21"/>
      <c r="AI21"/>
      <c r="AJ21"/>
      <c r="AK21"/>
      <c r="AL21"/>
      <c r="AM21"/>
      <c r="AN21"/>
      <c r="AO21"/>
      <c r="AP21"/>
      <c r="AQ21"/>
      <c r="AR21"/>
      <c r="AS21"/>
      <c r="AT21"/>
      <c r="AU21"/>
      <c r="AV21"/>
      <c r="AW21"/>
      <c r="AX21"/>
      <c r="AY21"/>
      <c r="AZ21"/>
      <c r="BA21"/>
      <c r="BB21"/>
      <c r="BC21"/>
      <c r="BD21"/>
      <c r="BE21"/>
      <c r="BF21"/>
      <c r="BG21"/>
      <c r="BH21"/>
      <c r="BI21"/>
      <c r="BJ21"/>
    </row>
    <row r="22" spans="1:62" ht="21" customHeight="1">
      <c r="A22" s="11"/>
      <c r="B22" s="125">
        <v>1</v>
      </c>
      <c r="C22" s="523">
        <v>50000</v>
      </c>
      <c r="D22" s="125">
        <f>(C22*5)*D18</f>
        <v>12000000</v>
      </c>
      <c r="E22" s="11"/>
      <c r="F22" s="19"/>
      <c r="G22" s="19"/>
      <c r="H22" s="633"/>
      <c r="I22" s="128" t="s">
        <v>129</v>
      </c>
      <c r="J22" s="485">
        <f>H84</f>
        <v>0</v>
      </c>
      <c r="K22" s="485">
        <f>J22*(1+Dashboard!$D$16)</f>
        <v>0</v>
      </c>
      <c r="L22" s="485">
        <f>K22*(1+Dashboard!$D$16)</f>
        <v>0</v>
      </c>
      <c r="M22" s="485">
        <f>L22*(1+Dashboard!$D$16)</f>
        <v>0</v>
      </c>
      <c r="N22" s="485">
        <f>M22*(1+Dashboard!$D$16)</f>
        <v>0</v>
      </c>
      <c r="O22"/>
      <c r="P22" s="633"/>
      <c r="Q22" s="128" t="s">
        <v>129</v>
      </c>
      <c r="R22" s="485">
        <f t="shared" si="4"/>
        <v>0</v>
      </c>
      <c r="S22" s="485">
        <f t="shared" si="5"/>
        <v>0</v>
      </c>
      <c r="T22" s="485">
        <f t="shared" si="6"/>
        <v>0</v>
      </c>
      <c r="U22" s="485">
        <f t="shared" si="7"/>
        <v>0</v>
      </c>
      <c r="V22" s="485">
        <f t="shared" si="8"/>
        <v>0</v>
      </c>
      <c r="W22" s="11"/>
      <c r="X22" s="633"/>
      <c r="Y22" s="128" t="s">
        <v>129</v>
      </c>
      <c r="Z22" s="485">
        <f t="shared" si="9"/>
        <v>0</v>
      </c>
      <c r="AA22" s="485">
        <f t="shared" si="10"/>
        <v>0</v>
      </c>
      <c r="AB22" s="485">
        <f t="shared" si="1"/>
        <v>0</v>
      </c>
      <c r="AC22" s="485">
        <f t="shared" si="2"/>
        <v>0</v>
      </c>
      <c r="AD22" s="485">
        <f t="shared" si="3"/>
        <v>0</v>
      </c>
      <c r="AE22"/>
      <c r="AF22"/>
      <c r="AG22"/>
      <c r="AH22"/>
      <c r="AI22"/>
      <c r="AJ22"/>
      <c r="AK22"/>
      <c r="AL22"/>
      <c r="AM22"/>
      <c r="AN22"/>
      <c r="AO22"/>
      <c r="AP22"/>
      <c r="AQ22"/>
      <c r="AR22"/>
      <c r="AS22"/>
      <c r="AT22"/>
      <c r="AU22"/>
      <c r="AV22"/>
      <c r="AW22"/>
      <c r="AX22"/>
      <c r="AY22"/>
      <c r="AZ22"/>
      <c r="BA22"/>
      <c r="BB22"/>
      <c r="BC22"/>
      <c r="BD22"/>
      <c r="BE22"/>
      <c r="BF22"/>
      <c r="BG22"/>
      <c r="BH22"/>
      <c r="BI22"/>
      <c r="BJ22"/>
    </row>
    <row r="23" spans="1:62" ht="21" customHeight="1">
      <c r="A23" s="11"/>
      <c r="B23"/>
      <c r="C23"/>
      <c r="D23"/>
      <c r="E23" s="11"/>
      <c r="F23" s="22"/>
      <c r="G23" s="22"/>
      <c r="H23" s="633"/>
      <c r="I23" s="128" t="s">
        <v>130</v>
      </c>
      <c r="J23" s="524">
        <f>Questions!C$50</f>
        <v>42000</v>
      </c>
      <c r="K23" s="485">
        <f>J23*(1+Dashboard!$D$16)</f>
        <v>44100</v>
      </c>
      <c r="L23" s="485">
        <f>K23*(1+Dashboard!$D$16)</f>
        <v>46305</v>
      </c>
      <c r="M23" s="485">
        <f>L23*(1+Dashboard!$D$16)</f>
        <v>48620.25</v>
      </c>
      <c r="N23" s="485">
        <f>M23*(1+Dashboard!$D$16)</f>
        <v>51051.262500000004</v>
      </c>
      <c r="O23"/>
      <c r="P23" s="633"/>
      <c r="Q23" s="128" t="s">
        <v>130</v>
      </c>
      <c r="R23" s="524">
        <f>Questions!$C$50</f>
        <v>42000</v>
      </c>
      <c r="S23" s="485">
        <f t="shared" si="5"/>
        <v>44100</v>
      </c>
      <c r="T23" s="485">
        <f t="shared" si="6"/>
        <v>46305</v>
      </c>
      <c r="U23" s="485">
        <f t="shared" si="7"/>
        <v>48620.25</v>
      </c>
      <c r="V23" s="485">
        <f t="shared" si="8"/>
        <v>51051.262500000004</v>
      </c>
      <c r="W23" s="11"/>
      <c r="X23" s="633"/>
      <c r="Y23" s="128" t="s">
        <v>130</v>
      </c>
      <c r="Z23" s="524">
        <f t="shared" si="9"/>
        <v>42000</v>
      </c>
      <c r="AA23" s="485">
        <f t="shared" si="10"/>
        <v>44100</v>
      </c>
      <c r="AB23" s="485">
        <f t="shared" si="1"/>
        <v>46305</v>
      </c>
      <c r="AC23" s="485">
        <f t="shared" si="2"/>
        <v>48620.25</v>
      </c>
      <c r="AD23" s="485">
        <f t="shared" si="3"/>
        <v>51051.262500000004</v>
      </c>
      <c r="AE23"/>
      <c r="AF23"/>
      <c r="AG23"/>
      <c r="AH23"/>
      <c r="AI23"/>
      <c r="AJ23"/>
      <c r="AK23"/>
      <c r="AL23"/>
      <c r="AM23"/>
      <c r="AN23"/>
      <c r="AO23"/>
      <c r="AP23"/>
      <c r="AQ23"/>
      <c r="AR23"/>
      <c r="AS23"/>
      <c r="AT23"/>
      <c r="AU23"/>
      <c r="AV23"/>
      <c r="AW23"/>
      <c r="AX23"/>
      <c r="AY23"/>
      <c r="AZ23"/>
      <c r="BA23"/>
      <c r="BB23"/>
      <c r="BC23"/>
      <c r="BD23"/>
      <c r="BE23"/>
      <c r="BF23"/>
      <c r="BG23"/>
      <c r="BH23"/>
      <c r="BI23"/>
      <c r="BJ23"/>
    </row>
    <row r="24" spans="1:62" ht="21" customHeight="1">
      <c r="A24" s="11"/>
      <c r="B24" s="678" t="s">
        <v>138</v>
      </c>
      <c r="C24" s="679"/>
      <c r="D24" s="126">
        <f>D26/D22</f>
        <v>20.029833524534574</v>
      </c>
      <c r="E24" s="11"/>
      <c r="F24" s="22"/>
      <c r="G24" s="22"/>
      <c r="H24" s="633"/>
      <c r="I24" s="128" t="s">
        <v>131</v>
      </c>
      <c r="J24" s="524">
        <v>264000</v>
      </c>
      <c r="K24" s="485">
        <f>J24*(1+Dashboard!$D$16)</f>
        <v>277200</v>
      </c>
      <c r="L24" s="485">
        <f>K24*(1+Dashboard!$D$16)</f>
        <v>291060</v>
      </c>
      <c r="M24" s="485">
        <f>L24*(1+Dashboard!$D$16)</f>
        <v>305613</v>
      </c>
      <c r="N24" s="485">
        <f>M24*(1+Dashboard!$D$16)</f>
        <v>320893.65000000002</v>
      </c>
      <c r="O24"/>
      <c r="P24" s="633"/>
      <c r="Q24" s="128" t="s">
        <v>131</v>
      </c>
      <c r="R24" s="524">
        <f t="shared" si="4"/>
        <v>264000</v>
      </c>
      <c r="S24" s="485">
        <f t="shared" si="5"/>
        <v>277200</v>
      </c>
      <c r="T24" s="485">
        <f t="shared" si="6"/>
        <v>291060</v>
      </c>
      <c r="U24" s="485">
        <f t="shared" si="7"/>
        <v>305613</v>
      </c>
      <c r="V24" s="485">
        <f t="shared" si="8"/>
        <v>320893.65000000002</v>
      </c>
      <c r="W24" s="11"/>
      <c r="X24" s="633"/>
      <c r="Y24" s="128" t="s">
        <v>131</v>
      </c>
      <c r="Z24" s="524">
        <f t="shared" si="9"/>
        <v>264000</v>
      </c>
      <c r="AA24" s="485">
        <f t="shared" si="10"/>
        <v>277200</v>
      </c>
      <c r="AB24" s="485">
        <f t="shared" si="1"/>
        <v>291060</v>
      </c>
      <c r="AC24" s="485">
        <f t="shared" si="2"/>
        <v>305613</v>
      </c>
      <c r="AD24" s="485">
        <f t="shared" si="3"/>
        <v>320893.65000000002</v>
      </c>
      <c r="AE24"/>
      <c r="AF24"/>
      <c r="AG24"/>
      <c r="AH24"/>
      <c r="AI24"/>
      <c r="AJ24"/>
      <c r="AK24"/>
      <c r="AL24"/>
      <c r="AM24"/>
      <c r="AN24"/>
      <c r="AO24"/>
      <c r="AP24"/>
      <c r="AQ24"/>
      <c r="AR24"/>
      <c r="AS24"/>
      <c r="AT24"/>
      <c r="AU24"/>
      <c r="AV24"/>
      <c r="AW24"/>
      <c r="AX24"/>
      <c r="AY24"/>
      <c r="AZ24"/>
      <c r="BA24"/>
      <c r="BB24"/>
      <c r="BC24"/>
      <c r="BD24"/>
      <c r="BE24"/>
      <c r="BF24"/>
      <c r="BG24"/>
      <c r="BH24"/>
      <c r="BI24"/>
      <c r="BJ24"/>
    </row>
    <row r="25" spans="1:62" ht="21" customHeight="1">
      <c r="A25" s="11"/>
      <c r="B25" s="680" t="s">
        <v>139</v>
      </c>
      <c r="C25" s="680"/>
      <c r="D25" s="127">
        <f>D24*C10</f>
        <v>400596.6704906915</v>
      </c>
      <c r="E25" s="11"/>
      <c r="F25" s="22"/>
      <c r="G25" s="22" t="s">
        <v>140</v>
      </c>
      <c r="H25" s="633"/>
      <c r="I25" s="360" t="s">
        <v>20</v>
      </c>
      <c r="J25" s="486">
        <f>SUM(J18:J24)</f>
        <v>509007.95199581748</v>
      </c>
      <c r="K25" s="486">
        <f>SUM(K18:K24)</f>
        <v>534458.34959560842</v>
      </c>
      <c r="L25" s="486">
        <f>SUM(L18:L24)</f>
        <v>561181.26707538881</v>
      </c>
      <c r="M25" s="486">
        <f>SUM(M18:M24)</f>
        <v>589240.33042915817</v>
      </c>
      <c r="N25" s="486">
        <f>SUM(N18:N24)</f>
        <v>618702.34695061622</v>
      </c>
      <c r="O25"/>
      <c r="P25" s="633"/>
      <c r="Q25" s="360" t="s">
        <v>20</v>
      </c>
      <c r="R25" s="486">
        <f t="shared" si="4"/>
        <v>509007.95199581748</v>
      </c>
      <c r="S25" s="486">
        <f t="shared" si="5"/>
        <v>534458.34959560842</v>
      </c>
      <c r="T25" s="486">
        <f t="shared" si="6"/>
        <v>561181.26707538881</v>
      </c>
      <c r="U25" s="486">
        <f t="shared" si="7"/>
        <v>589240.33042915817</v>
      </c>
      <c r="V25" s="486">
        <f t="shared" si="8"/>
        <v>618702.34695061622</v>
      </c>
      <c r="W25" s="11"/>
      <c r="X25" s="633"/>
      <c r="Y25" s="360" t="s">
        <v>20</v>
      </c>
      <c r="Z25" s="486">
        <f t="shared" si="9"/>
        <v>509007.95199581748</v>
      </c>
      <c r="AA25" s="486">
        <f t="shared" si="10"/>
        <v>534458.34959560842</v>
      </c>
      <c r="AB25" s="486">
        <f t="shared" si="1"/>
        <v>561181.26707538881</v>
      </c>
      <c r="AC25" s="486">
        <f t="shared" si="2"/>
        <v>589240.33042915817</v>
      </c>
      <c r="AD25" s="486">
        <f t="shared" si="3"/>
        <v>618702.34695061622</v>
      </c>
      <c r="AE25"/>
      <c r="AF25"/>
      <c r="AG25"/>
      <c r="AH25"/>
      <c r="AI25"/>
      <c r="AJ25"/>
      <c r="AK25"/>
      <c r="AL25"/>
      <c r="AM25"/>
      <c r="AN25"/>
      <c r="AO25"/>
      <c r="AP25"/>
      <c r="AQ25"/>
      <c r="AR25"/>
      <c r="AS25"/>
      <c r="AT25"/>
      <c r="AU25"/>
      <c r="AV25"/>
      <c r="AW25"/>
      <c r="AX25"/>
      <c r="AY25"/>
      <c r="AZ25"/>
      <c r="BA25"/>
      <c r="BB25"/>
      <c r="BC25"/>
      <c r="BD25"/>
      <c r="BE25"/>
      <c r="BF25"/>
      <c r="BG25"/>
      <c r="BH25"/>
      <c r="BI25"/>
      <c r="BJ25"/>
    </row>
    <row r="26" spans="1:62" ht="21" customHeight="1">
      <c r="A26" s="11"/>
      <c r="B26" s="128" t="s">
        <v>141</v>
      </c>
      <c r="C26" s="128"/>
      <c r="D26" s="129">
        <f>'INITIAL DATA'!D39</f>
        <v>240358002.29441491</v>
      </c>
      <c r="E26" s="130">
        <f>'INITIAL DATA'!F39/1000</f>
        <v>5515.6438890953214</v>
      </c>
      <c r="F26" s="131" t="s">
        <v>142</v>
      </c>
      <c r="G26" s="22"/>
      <c r="H26" s="635" t="s">
        <v>331</v>
      </c>
      <c r="I26" s="128" t="s">
        <v>122</v>
      </c>
      <c r="J26" s="485">
        <f>C30*C10</f>
        <v>96253.031775439769</v>
      </c>
      <c r="K26" s="485">
        <f>J26*(1+Dashboard!$D$16)</f>
        <v>101065.68336421176</v>
      </c>
      <c r="L26" s="485">
        <f>K26*(1+Dashboard!$D$16)</f>
        <v>106118.96753242235</v>
      </c>
      <c r="M26" s="485">
        <f>L26*(1+Dashboard!$D$16)</f>
        <v>111424.91590904347</v>
      </c>
      <c r="N26" s="485">
        <f>M26*(1+Dashboard!$D$16)</f>
        <v>116996.16170449565</v>
      </c>
      <c r="O26"/>
      <c r="P26" s="635" t="s">
        <v>331</v>
      </c>
      <c r="Q26" s="128" t="s">
        <v>122</v>
      </c>
      <c r="R26" s="485">
        <f t="shared" si="4"/>
        <v>96253.031775439769</v>
      </c>
      <c r="S26" s="485">
        <f t="shared" si="5"/>
        <v>101065.68336421176</v>
      </c>
      <c r="T26" s="485">
        <f t="shared" si="6"/>
        <v>106118.96753242235</v>
      </c>
      <c r="U26" s="485">
        <f t="shared" si="7"/>
        <v>111424.91590904347</v>
      </c>
      <c r="V26" s="485">
        <f t="shared" si="8"/>
        <v>116996.16170449565</v>
      </c>
      <c r="W26" s="11"/>
      <c r="X26" s="635" t="s">
        <v>331</v>
      </c>
      <c r="Y26" s="128" t="s">
        <v>122</v>
      </c>
      <c r="Z26" s="485">
        <f t="shared" si="9"/>
        <v>96253.031775439769</v>
      </c>
      <c r="AA26" s="485">
        <f t="shared" si="10"/>
        <v>101065.68336421176</v>
      </c>
      <c r="AB26" s="485">
        <f t="shared" si="1"/>
        <v>106118.96753242235</v>
      </c>
      <c r="AC26" s="485">
        <f t="shared" si="2"/>
        <v>111424.91590904347</v>
      </c>
      <c r="AD26" s="485">
        <f t="shared" si="3"/>
        <v>116996.16170449565</v>
      </c>
      <c r="AE26"/>
      <c r="AF26"/>
      <c r="AG26"/>
      <c r="AH26"/>
      <c r="AI26"/>
      <c r="AJ26"/>
      <c r="AK26"/>
      <c r="AL26"/>
      <c r="AM26"/>
      <c r="AN26"/>
      <c r="AO26"/>
      <c r="AP26"/>
      <c r="AQ26"/>
      <c r="AR26"/>
      <c r="AS26"/>
      <c r="AT26"/>
      <c r="AU26"/>
      <c r="AV26"/>
      <c r="AW26"/>
      <c r="AX26"/>
      <c r="AY26"/>
      <c r="AZ26"/>
      <c r="BA26"/>
      <c r="BB26"/>
      <c r="BC26"/>
      <c r="BD26"/>
      <c r="BE26"/>
      <c r="BF26"/>
      <c r="BG26"/>
      <c r="BH26"/>
      <c r="BI26"/>
      <c r="BJ26"/>
    </row>
    <row r="27" spans="1:62" ht="21" customHeight="1">
      <c r="A27" s="11"/>
      <c r="B27" s="132"/>
      <c r="C27" s="132"/>
      <c r="D27" s="133"/>
      <c r="E27" s="134"/>
      <c r="F27" s="135"/>
      <c r="G27" s="22"/>
      <c r="H27" s="635"/>
      <c r="I27" s="128" t="s">
        <v>124</v>
      </c>
      <c r="J27" s="485">
        <f>J11</f>
        <v>21143.3015748654</v>
      </c>
      <c r="K27" s="485">
        <f>J27*(1+Dashboard!$D$16)</f>
        <v>22200.46665360867</v>
      </c>
      <c r="L27" s="485">
        <f>K27*(1+Dashboard!$D$16)</f>
        <v>23310.489986289103</v>
      </c>
      <c r="M27" s="485">
        <f>L27*(1+Dashboard!$D$16)</f>
        <v>24476.014485603559</v>
      </c>
      <c r="N27" s="485">
        <f>M27*(1+Dashboard!$D$16)</f>
        <v>25699.815209883738</v>
      </c>
      <c r="O27"/>
      <c r="P27" s="635"/>
      <c r="Q27" s="128" t="s">
        <v>124</v>
      </c>
      <c r="R27" s="485">
        <f t="shared" si="4"/>
        <v>21143.3015748654</v>
      </c>
      <c r="S27" s="485">
        <f t="shared" si="5"/>
        <v>22200.46665360867</v>
      </c>
      <c r="T27" s="485">
        <f t="shared" si="6"/>
        <v>23310.489986289103</v>
      </c>
      <c r="U27" s="485">
        <f t="shared" si="7"/>
        <v>24476.014485603559</v>
      </c>
      <c r="V27" s="485">
        <f t="shared" si="8"/>
        <v>25699.815209883738</v>
      </c>
      <c r="W27" s="11"/>
      <c r="X27" s="635"/>
      <c r="Y27" s="128" t="s">
        <v>124</v>
      </c>
      <c r="Z27" s="485">
        <f t="shared" si="9"/>
        <v>21143.3015748654</v>
      </c>
      <c r="AA27" s="485">
        <f t="shared" si="10"/>
        <v>22200.46665360867</v>
      </c>
      <c r="AB27" s="485">
        <f t="shared" si="1"/>
        <v>23310.489986289103</v>
      </c>
      <c r="AC27" s="485">
        <f t="shared" si="2"/>
        <v>24476.014485603559</v>
      </c>
      <c r="AD27" s="485">
        <f t="shared" si="3"/>
        <v>25699.815209883738</v>
      </c>
      <c r="AE27"/>
      <c r="AF27"/>
      <c r="AG27"/>
      <c r="AH27"/>
      <c r="AI27"/>
      <c r="AJ27"/>
      <c r="AK27"/>
      <c r="AL27"/>
      <c r="AM27"/>
      <c r="AN27"/>
      <c r="AO27"/>
      <c r="AP27"/>
      <c r="AQ27"/>
      <c r="AR27"/>
      <c r="AS27"/>
      <c r="AT27"/>
      <c r="AU27"/>
      <c r="AV27"/>
      <c r="AW27"/>
      <c r="AX27"/>
      <c r="AY27"/>
      <c r="AZ27"/>
      <c r="BA27"/>
      <c r="BB27"/>
      <c r="BC27"/>
      <c r="BD27"/>
      <c r="BE27"/>
      <c r="BF27"/>
      <c r="BG27"/>
      <c r="BH27"/>
      <c r="BI27"/>
      <c r="BJ27"/>
    </row>
    <row r="28" spans="1:62" ht="21" customHeight="1">
      <c r="A28" s="11"/>
      <c r="B28" s="132"/>
      <c r="C28" s="666" t="s">
        <v>143</v>
      </c>
      <c r="D28" s="667"/>
      <c r="E28" s="134"/>
      <c r="F28" s="135"/>
      <c r="G28" s="22"/>
      <c r="H28" s="635"/>
      <c r="I28" s="128" t="s">
        <v>126</v>
      </c>
      <c r="J28" s="485">
        <f>E66*C10</f>
        <v>70986.61093438683</v>
      </c>
      <c r="K28" s="485">
        <f>J28*(1+Dashboard!$D$16)</f>
        <v>74535.941481106172</v>
      </c>
      <c r="L28" s="485">
        <f>K28*(1+Dashboard!$D$16)</f>
        <v>78262.738555161486</v>
      </c>
      <c r="M28" s="485">
        <f>L28*(1+Dashboard!$D$16)</f>
        <v>82175.875482919568</v>
      </c>
      <c r="N28" s="485">
        <f>M28*(1+Dashboard!$D$16)</f>
        <v>86284.669257065543</v>
      </c>
      <c r="O28"/>
      <c r="P28" s="635"/>
      <c r="Q28" s="128" t="s">
        <v>126</v>
      </c>
      <c r="R28" s="485">
        <f t="shared" si="4"/>
        <v>70986.61093438683</v>
      </c>
      <c r="S28" s="485">
        <f t="shared" si="5"/>
        <v>74535.941481106172</v>
      </c>
      <c r="T28" s="485">
        <f t="shared" si="6"/>
        <v>78262.738555161486</v>
      </c>
      <c r="U28" s="485">
        <f t="shared" si="7"/>
        <v>82175.875482919568</v>
      </c>
      <c r="V28" s="485">
        <f t="shared" si="8"/>
        <v>86284.669257065543</v>
      </c>
      <c r="W28" s="11"/>
      <c r="X28" s="635"/>
      <c r="Y28" s="128" t="s">
        <v>126</v>
      </c>
      <c r="Z28" s="485">
        <f t="shared" si="9"/>
        <v>70986.61093438683</v>
      </c>
      <c r="AA28" s="485">
        <f t="shared" si="10"/>
        <v>74535.941481106172</v>
      </c>
      <c r="AB28" s="485">
        <f t="shared" si="1"/>
        <v>78262.738555161486</v>
      </c>
      <c r="AC28" s="485">
        <f t="shared" si="2"/>
        <v>82175.875482919568</v>
      </c>
      <c r="AD28" s="485">
        <f t="shared" si="3"/>
        <v>86284.669257065543</v>
      </c>
      <c r="AE28"/>
      <c r="AF28"/>
      <c r="AG28"/>
      <c r="AH28"/>
      <c r="AI28"/>
      <c r="AJ28"/>
      <c r="AK28"/>
      <c r="AL28"/>
      <c r="AM28"/>
      <c r="AN28"/>
      <c r="AO28"/>
      <c r="AP28"/>
      <c r="AQ28"/>
      <c r="AR28"/>
      <c r="AS28"/>
      <c r="AT28"/>
      <c r="AU28"/>
      <c r="AV28"/>
      <c r="AW28"/>
      <c r="AX28"/>
      <c r="AY28"/>
      <c r="AZ28"/>
      <c r="BA28"/>
      <c r="BB28"/>
      <c r="BC28"/>
      <c r="BD28"/>
      <c r="BE28"/>
      <c r="BF28"/>
      <c r="BG28"/>
      <c r="BH28"/>
      <c r="BI28"/>
      <c r="BJ28"/>
    </row>
    <row r="29" spans="1:62" ht="21" customHeight="1">
      <c r="A29" s="11"/>
      <c r="B29" s="136" t="s">
        <v>324</v>
      </c>
      <c r="C29" s="675">
        <f>D24*'INITIAL DATA'!K85</f>
        <v>7.8937736195560602</v>
      </c>
      <c r="D29" s="675"/>
      <c r="E29" s="134"/>
      <c r="F29" s="135"/>
      <c r="G29" s="22"/>
      <c r="H29" s="635"/>
      <c r="I29" s="128" t="s">
        <v>127</v>
      </c>
      <c r="J29" s="485">
        <f>F46*E66</f>
        <v>56.78928874750946</v>
      </c>
      <c r="K29" s="485">
        <f>J29*(1+Dashboard!$D$16)</f>
        <v>59.628753184884935</v>
      </c>
      <c r="L29" s="485">
        <f>K29*(1+Dashboard!$D$16)</f>
        <v>62.610190844129185</v>
      </c>
      <c r="M29" s="485">
        <f>L29*(1+Dashboard!$D$16)</f>
        <v>65.740700386335646</v>
      </c>
      <c r="N29" s="485">
        <f>M29*(1+Dashboard!$D$16)</f>
        <v>69.027735405652436</v>
      </c>
      <c r="O29"/>
      <c r="P29" s="635"/>
      <c r="Q29" s="128" t="s">
        <v>128</v>
      </c>
      <c r="R29" s="485">
        <f t="shared" si="4"/>
        <v>56.78928874750946</v>
      </c>
      <c r="S29" s="485">
        <f t="shared" si="5"/>
        <v>59.628753184884935</v>
      </c>
      <c r="T29" s="485">
        <f t="shared" si="6"/>
        <v>62.610190844129185</v>
      </c>
      <c r="U29" s="485">
        <f t="shared" si="7"/>
        <v>65.740700386335646</v>
      </c>
      <c r="V29" s="485">
        <f t="shared" si="8"/>
        <v>69.027735405652436</v>
      </c>
      <c r="W29" s="11"/>
      <c r="X29" s="635"/>
      <c r="Y29" s="128" t="s">
        <v>128</v>
      </c>
      <c r="Z29" s="485">
        <f t="shared" si="9"/>
        <v>56.78928874750946</v>
      </c>
      <c r="AA29" s="485">
        <f t="shared" si="10"/>
        <v>59.628753184884935</v>
      </c>
      <c r="AB29" s="485">
        <f t="shared" si="1"/>
        <v>62.610190844129185</v>
      </c>
      <c r="AC29" s="485">
        <f t="shared" si="2"/>
        <v>65.740700386335646</v>
      </c>
      <c r="AD29" s="485">
        <f t="shared" si="3"/>
        <v>69.027735405652436</v>
      </c>
      <c r="AE29"/>
      <c r="AF29"/>
      <c r="AG29"/>
      <c r="AH29"/>
      <c r="AI29"/>
      <c r="AJ29"/>
      <c r="AK29"/>
      <c r="AL29"/>
      <c r="AM29"/>
      <c r="AN29"/>
      <c r="AO29"/>
      <c r="AP29"/>
      <c r="AQ29"/>
      <c r="AR29"/>
      <c r="AS29"/>
      <c r="AT29"/>
      <c r="AU29"/>
      <c r="AV29"/>
      <c r="AW29"/>
      <c r="AX29"/>
      <c r="AY29"/>
      <c r="AZ29"/>
      <c r="BA29"/>
      <c r="BB29"/>
      <c r="BC29"/>
      <c r="BD29"/>
      <c r="BE29"/>
      <c r="BF29"/>
      <c r="BG29"/>
      <c r="BH29"/>
      <c r="BI29"/>
      <c r="BJ29"/>
    </row>
    <row r="30" spans="1:62" ht="21" customHeight="1">
      <c r="A30" s="11"/>
      <c r="B30" s="136" t="s">
        <v>307</v>
      </c>
      <c r="C30" s="675">
        <f>D24*'INITIAL DATA'!K86</f>
        <v>4.8126515887719883</v>
      </c>
      <c r="D30" s="675"/>
      <c r="E30" s="134"/>
      <c r="F30" s="135"/>
      <c r="G30" s="22"/>
      <c r="H30" s="635"/>
      <c r="I30" s="128" t="s">
        <v>129</v>
      </c>
      <c r="J30" s="485">
        <f>'INTERNAL SHIPMENT'!I52</f>
        <v>501161.76324066572</v>
      </c>
      <c r="K30" s="485">
        <f>'INTERNAL SHIPMENT'!O52</f>
        <v>551376.85274452926</v>
      </c>
      <c r="L30" s="485">
        <f>'INTERNAL SHIPMENT'!U52</f>
        <v>573449.61205500481</v>
      </c>
      <c r="M30" s="485">
        <f>'INTERNAL SHIPMENT'!AA52</f>
        <v>583237.58148703189</v>
      </c>
      <c r="N30" s="485">
        <f>'INTERNAL SHIPMENT'!AG52</f>
        <v>578393.8044018473</v>
      </c>
      <c r="O30"/>
      <c r="P30" s="635"/>
      <c r="Q30" s="128" t="s">
        <v>129</v>
      </c>
      <c r="R30" s="485">
        <f t="shared" si="4"/>
        <v>501161.76324066572</v>
      </c>
      <c r="S30" s="485">
        <f t="shared" si="5"/>
        <v>551376.85274452926</v>
      </c>
      <c r="T30" s="485">
        <f t="shared" si="6"/>
        <v>573449.61205500481</v>
      </c>
      <c r="U30" s="485">
        <f t="shared" si="7"/>
        <v>583237.58148703189</v>
      </c>
      <c r="V30" s="485">
        <f t="shared" si="8"/>
        <v>578393.8044018473</v>
      </c>
      <c r="W30" s="11"/>
      <c r="X30" s="635"/>
      <c r="Y30" s="128" t="s">
        <v>129</v>
      </c>
      <c r="Z30" s="485">
        <f t="shared" si="9"/>
        <v>501161.76324066572</v>
      </c>
      <c r="AA30" s="485">
        <f t="shared" si="10"/>
        <v>551376.85274452926</v>
      </c>
      <c r="AB30" s="485">
        <f t="shared" si="1"/>
        <v>573449.61205500481</v>
      </c>
      <c r="AC30" s="485">
        <f t="shared" si="2"/>
        <v>583237.58148703189</v>
      </c>
      <c r="AD30" s="485">
        <f t="shared" si="3"/>
        <v>578393.8044018473</v>
      </c>
      <c r="AE30"/>
      <c r="AF30"/>
      <c r="AG30"/>
      <c r="AH30"/>
      <c r="AI30"/>
      <c r="AJ30"/>
      <c r="AK30"/>
      <c r="AL30"/>
      <c r="AM30"/>
      <c r="AN30"/>
      <c r="AO30"/>
      <c r="AP30"/>
      <c r="AQ30"/>
      <c r="AR30"/>
      <c r="AS30"/>
      <c r="AT30"/>
      <c r="AU30"/>
      <c r="AV30"/>
      <c r="AW30"/>
      <c r="AX30"/>
      <c r="AY30"/>
      <c r="AZ30"/>
      <c r="BA30"/>
      <c r="BB30"/>
      <c r="BC30"/>
      <c r="BD30"/>
      <c r="BE30"/>
      <c r="BF30"/>
      <c r="BG30"/>
      <c r="BH30"/>
      <c r="BI30"/>
      <c r="BJ30"/>
    </row>
    <row r="31" spans="1:62" ht="21" customHeight="1">
      <c r="A31" s="11"/>
      <c r="B31" s="136" t="s">
        <v>308</v>
      </c>
      <c r="C31" s="675">
        <f>D24*'INITIAL DATA'!K81/2</f>
        <v>1.3077673496703728</v>
      </c>
      <c r="D31" s="675"/>
      <c r="E31" s="134"/>
      <c r="F31" s="135"/>
      <c r="G31" s="22"/>
      <c r="H31" s="635"/>
      <c r="I31" s="128" t="s">
        <v>130</v>
      </c>
      <c r="J31" s="524">
        <f>Questions!C$50</f>
        <v>42000</v>
      </c>
      <c r="K31" s="485">
        <f>J31*(1+Dashboard!$D$16)</f>
        <v>44100</v>
      </c>
      <c r="L31" s="485">
        <f>K31*(1+Dashboard!$D$16)</f>
        <v>46305</v>
      </c>
      <c r="M31" s="485">
        <f>L31*(1+Dashboard!$D$16)</f>
        <v>48620.25</v>
      </c>
      <c r="N31" s="485">
        <f>M31*(1+Dashboard!$D$16)</f>
        <v>51051.262500000004</v>
      </c>
      <c r="O31"/>
      <c r="P31" s="635"/>
      <c r="Q31" s="128" t="s">
        <v>130</v>
      </c>
      <c r="R31" s="524">
        <f>Questions!$C$50</f>
        <v>42000</v>
      </c>
      <c r="S31" s="485">
        <f t="shared" si="5"/>
        <v>44100</v>
      </c>
      <c r="T31" s="485">
        <f t="shared" si="6"/>
        <v>46305</v>
      </c>
      <c r="U31" s="485">
        <f t="shared" si="7"/>
        <v>48620.25</v>
      </c>
      <c r="V31" s="485">
        <f t="shared" si="8"/>
        <v>51051.262500000004</v>
      </c>
      <c r="W31" s="11"/>
      <c r="X31" s="635"/>
      <c r="Y31" s="128" t="s">
        <v>130</v>
      </c>
      <c r="Z31" s="524">
        <f t="shared" si="9"/>
        <v>42000</v>
      </c>
      <c r="AA31" s="485">
        <f t="shared" si="10"/>
        <v>44100</v>
      </c>
      <c r="AB31" s="485">
        <f t="shared" si="1"/>
        <v>46305</v>
      </c>
      <c r="AC31" s="485">
        <f t="shared" si="2"/>
        <v>48620.25</v>
      </c>
      <c r="AD31" s="485">
        <f t="shared" si="3"/>
        <v>51051.262500000004</v>
      </c>
      <c r="AE31"/>
      <c r="AF31"/>
      <c r="AG31"/>
      <c r="AH31"/>
      <c r="AI31"/>
      <c r="AJ31"/>
      <c r="AK31"/>
      <c r="AL31"/>
      <c r="AM31"/>
      <c r="AN31"/>
      <c r="AO31"/>
      <c r="AP31"/>
      <c r="AQ31"/>
      <c r="AR31"/>
      <c r="AS31"/>
      <c r="AT31"/>
      <c r="AU31"/>
      <c r="AV31"/>
      <c r="AW31"/>
      <c r="AX31"/>
      <c r="AY31"/>
      <c r="AZ31"/>
      <c r="BA31"/>
      <c r="BB31"/>
      <c r="BC31"/>
      <c r="BD31"/>
      <c r="BE31"/>
      <c r="BF31"/>
      <c r="BG31"/>
      <c r="BH31"/>
      <c r="BI31"/>
      <c r="BJ31"/>
    </row>
    <row r="32" spans="1:62" ht="21" customHeight="1">
      <c r="A32" s="11"/>
      <c r="B32" s="136" t="s">
        <v>309</v>
      </c>
      <c r="C32" s="675">
        <f>C31</f>
        <v>1.3077673496703728</v>
      </c>
      <c r="D32" s="675"/>
      <c r="E32" s="134"/>
      <c r="F32" s="135"/>
      <c r="G32" s="22"/>
      <c r="H32" s="635"/>
      <c r="I32" s="128" t="s">
        <v>131</v>
      </c>
      <c r="J32" s="524">
        <v>264000</v>
      </c>
      <c r="K32" s="485">
        <f>J32*(1+Dashboard!$D$16)</f>
        <v>277200</v>
      </c>
      <c r="L32" s="485">
        <f>K32*(1+Dashboard!$D$16)</f>
        <v>291060</v>
      </c>
      <c r="M32" s="485">
        <f>L32*(1+Dashboard!$D$16)</f>
        <v>305613</v>
      </c>
      <c r="N32" s="485">
        <f>M32*(1+Dashboard!$D$16)</f>
        <v>320893.65000000002</v>
      </c>
      <c r="O32"/>
      <c r="P32" s="635"/>
      <c r="Q32" s="128" t="s">
        <v>131</v>
      </c>
      <c r="R32" s="524">
        <f t="shared" si="4"/>
        <v>264000</v>
      </c>
      <c r="S32" s="485">
        <f t="shared" si="5"/>
        <v>277200</v>
      </c>
      <c r="T32" s="485">
        <f t="shared" si="6"/>
        <v>291060</v>
      </c>
      <c r="U32" s="485">
        <f t="shared" si="7"/>
        <v>305613</v>
      </c>
      <c r="V32" s="485">
        <f t="shared" si="8"/>
        <v>320893.65000000002</v>
      </c>
      <c r="W32" s="11"/>
      <c r="X32" s="635"/>
      <c r="Y32" s="128" t="s">
        <v>131</v>
      </c>
      <c r="Z32" s="524">
        <f t="shared" si="9"/>
        <v>264000</v>
      </c>
      <c r="AA32" s="485">
        <f t="shared" si="10"/>
        <v>277200</v>
      </c>
      <c r="AB32" s="485">
        <f t="shared" si="1"/>
        <v>291060</v>
      </c>
      <c r="AC32" s="485">
        <f t="shared" si="2"/>
        <v>305613</v>
      </c>
      <c r="AD32" s="485">
        <f t="shared" si="3"/>
        <v>320893.65000000002</v>
      </c>
      <c r="AE32"/>
      <c r="AF32"/>
      <c r="AG32"/>
      <c r="AH32"/>
      <c r="AI32"/>
      <c r="AJ32"/>
      <c r="AK32"/>
      <c r="AL32"/>
      <c r="AM32"/>
      <c r="AN32"/>
      <c r="AO32"/>
      <c r="AP32"/>
      <c r="AQ32"/>
      <c r="AR32"/>
      <c r="AS32"/>
      <c r="AT32"/>
      <c r="AU32"/>
      <c r="AV32"/>
      <c r="AW32"/>
      <c r="AX32"/>
      <c r="AY32"/>
      <c r="AZ32"/>
      <c r="BA32"/>
      <c r="BB32"/>
      <c r="BC32"/>
      <c r="BD32"/>
      <c r="BE32"/>
      <c r="BF32"/>
      <c r="BG32"/>
      <c r="BH32"/>
      <c r="BI32"/>
      <c r="BJ32"/>
    </row>
    <row r="33" spans="1:62" ht="21" customHeight="1">
      <c r="A33" s="11"/>
      <c r="B33" s="136" t="s">
        <v>310</v>
      </c>
      <c r="C33" s="675">
        <f>D24*'INITIAL DATA'!K88</f>
        <v>0.61445311982729234</v>
      </c>
      <c r="D33" s="675"/>
      <c r="E33" s="134"/>
      <c r="F33" s="135"/>
      <c r="G33" s="22"/>
      <c r="H33" s="635"/>
      <c r="I33" s="360" t="s">
        <v>20</v>
      </c>
      <c r="J33" s="486">
        <f>SUM(J26:J32)</f>
        <v>995601.49681410519</v>
      </c>
      <c r="K33" s="486">
        <f>SUM(K26:K32)</f>
        <v>1070538.5729966408</v>
      </c>
      <c r="L33" s="486">
        <f>SUM(L26:L32)</f>
        <v>1118569.4183197219</v>
      </c>
      <c r="M33" s="486">
        <f>SUM(M26:M32)</f>
        <v>1155613.3780649849</v>
      </c>
      <c r="N33" s="486">
        <f>SUM(N26:N32)</f>
        <v>1179388.3908086978</v>
      </c>
      <c r="O33"/>
      <c r="P33" s="635"/>
      <c r="Q33" s="360" t="s">
        <v>20</v>
      </c>
      <c r="R33" s="486">
        <f t="shared" si="4"/>
        <v>995601.49681410519</v>
      </c>
      <c r="S33" s="486">
        <f t="shared" si="5"/>
        <v>1070538.5729966408</v>
      </c>
      <c r="T33" s="486">
        <f t="shared" si="6"/>
        <v>1118569.4183197219</v>
      </c>
      <c r="U33" s="486">
        <f t="shared" si="7"/>
        <v>1155613.3780649849</v>
      </c>
      <c r="V33" s="486">
        <f t="shared" si="8"/>
        <v>1179388.3908086978</v>
      </c>
      <c r="W33" s="11"/>
      <c r="X33" s="635"/>
      <c r="Y33" s="360" t="s">
        <v>20</v>
      </c>
      <c r="Z33" s="486">
        <f t="shared" si="9"/>
        <v>995601.49681410519</v>
      </c>
      <c r="AA33" s="486">
        <f t="shared" si="10"/>
        <v>1070538.5729966408</v>
      </c>
      <c r="AB33" s="486">
        <f t="shared" si="1"/>
        <v>1118569.4183197219</v>
      </c>
      <c r="AC33" s="486">
        <f t="shared" si="2"/>
        <v>1155613.3780649849</v>
      </c>
      <c r="AD33" s="486">
        <f t="shared" si="3"/>
        <v>1179388.3908086978</v>
      </c>
      <c r="AE33"/>
      <c r="AF33"/>
      <c r="AG33"/>
      <c r="AH33"/>
      <c r="AI33"/>
      <c r="AJ33"/>
      <c r="AK33"/>
      <c r="AL33"/>
      <c r="AM33"/>
      <c r="AN33"/>
      <c r="AO33"/>
      <c r="AP33"/>
      <c r="AQ33"/>
      <c r="AR33"/>
      <c r="AS33"/>
      <c r="AT33"/>
      <c r="AU33"/>
      <c r="AV33"/>
      <c r="AW33"/>
      <c r="AX33"/>
      <c r="AY33"/>
      <c r="AZ33"/>
      <c r="BA33"/>
      <c r="BB33"/>
      <c r="BC33"/>
      <c r="BD33"/>
      <c r="BE33"/>
      <c r="BF33"/>
      <c r="BG33"/>
      <c r="BH33"/>
      <c r="BI33"/>
      <c r="BJ33"/>
    </row>
    <row r="34" spans="1:62" ht="21" customHeight="1">
      <c r="A34" s="11"/>
      <c r="B34" s="136" t="s">
        <v>311</v>
      </c>
      <c r="C34" s="675">
        <f>D24*'INITIAL DATA'!K80</f>
        <v>0.85007862262750156</v>
      </c>
      <c r="D34" s="675"/>
      <c r="E34" s="134"/>
      <c r="F34" s="135"/>
      <c r="G34" s="22"/>
      <c r="H34" s="645" t="s">
        <v>332</v>
      </c>
      <c r="I34" s="128" t="s">
        <v>122</v>
      </c>
      <c r="J34" s="485">
        <f>C31*C10</f>
        <v>26155.346993407456</v>
      </c>
      <c r="K34" s="485">
        <f>J34*(1+Dashboard!$D$16)</f>
        <v>27463.114343077832</v>
      </c>
      <c r="L34" s="485">
        <f>K34*(1+Dashboard!$D$16)</f>
        <v>28836.270060231724</v>
      </c>
      <c r="M34" s="485">
        <f>L34*(1+Dashboard!$D$16)</f>
        <v>30278.083563243312</v>
      </c>
      <c r="N34" s="485">
        <f>M34*(1+Dashboard!$D$16)</f>
        <v>31791.987741405479</v>
      </c>
      <c r="O34"/>
      <c r="P34" s="645" t="s">
        <v>332</v>
      </c>
      <c r="Q34" s="128" t="s">
        <v>122</v>
      </c>
      <c r="R34" s="485">
        <f t="shared" si="4"/>
        <v>26155.346993407456</v>
      </c>
      <c r="S34" s="485">
        <f t="shared" si="5"/>
        <v>27463.114343077832</v>
      </c>
      <c r="T34" s="485">
        <f t="shared" si="6"/>
        <v>28836.270060231724</v>
      </c>
      <c r="U34" s="485">
        <f t="shared" si="7"/>
        <v>30278.083563243312</v>
      </c>
      <c r="V34" s="485">
        <f t="shared" si="8"/>
        <v>31791.987741405479</v>
      </c>
      <c r="W34" s="11"/>
      <c r="X34" s="645" t="s">
        <v>332</v>
      </c>
      <c r="Y34" s="128" t="s">
        <v>122</v>
      </c>
      <c r="Z34" s="485">
        <f t="shared" si="9"/>
        <v>26155.346993407456</v>
      </c>
      <c r="AA34" s="485">
        <f t="shared" si="10"/>
        <v>27463.114343077832</v>
      </c>
      <c r="AB34" s="485">
        <f t="shared" si="1"/>
        <v>28836.270060231724</v>
      </c>
      <c r="AC34" s="485">
        <f t="shared" si="2"/>
        <v>30278.083563243312</v>
      </c>
      <c r="AD34" s="485">
        <f t="shared" si="3"/>
        <v>31791.987741405479</v>
      </c>
      <c r="AE34"/>
      <c r="AF34"/>
      <c r="AG34"/>
      <c r="AH34"/>
      <c r="AI34"/>
      <c r="AJ34"/>
      <c r="AK34"/>
      <c r="AL34"/>
      <c r="AM34"/>
      <c r="AN34"/>
      <c r="AO34"/>
      <c r="AP34"/>
      <c r="AQ34"/>
      <c r="AR34"/>
      <c r="AS34"/>
      <c r="AT34"/>
      <c r="AU34"/>
      <c r="AV34"/>
      <c r="AW34"/>
      <c r="AX34"/>
      <c r="AY34"/>
      <c r="AZ34"/>
      <c r="BA34"/>
      <c r="BB34"/>
      <c r="BC34"/>
      <c r="BD34"/>
      <c r="BE34"/>
      <c r="BF34"/>
      <c r="BG34"/>
      <c r="BH34"/>
      <c r="BI34"/>
      <c r="BJ34"/>
    </row>
    <row r="35" spans="1:62" ht="21" customHeight="1">
      <c r="A35" s="11"/>
      <c r="B35" s="136" t="s">
        <v>312</v>
      </c>
      <c r="C35" s="675">
        <f>D24*'INITIAL DATA'!K82</f>
        <v>0.84397073873259809</v>
      </c>
      <c r="D35" s="675"/>
      <c r="E35" s="134"/>
      <c r="F35" s="135"/>
      <c r="G35" s="22"/>
      <c r="H35" s="645"/>
      <c r="I35" s="128" t="s">
        <v>124</v>
      </c>
      <c r="J35" s="485">
        <f>C93+C92</f>
        <v>0</v>
      </c>
      <c r="K35" s="485">
        <f>J35*(1+Dashboard!$D$16)</f>
        <v>0</v>
      </c>
      <c r="L35" s="485">
        <f>K35*(1+Dashboard!$D$16)</f>
        <v>0</v>
      </c>
      <c r="M35" s="485">
        <f>L35*(1+Dashboard!$D$16)</f>
        <v>0</v>
      </c>
      <c r="N35" s="485">
        <f>M35*(1+Dashboard!$D$16)</f>
        <v>0</v>
      </c>
      <c r="O35"/>
      <c r="P35" s="645"/>
      <c r="Q35" s="128" t="s">
        <v>124</v>
      </c>
      <c r="R35" s="485">
        <f t="shared" si="4"/>
        <v>0</v>
      </c>
      <c r="S35" s="485">
        <f t="shared" si="5"/>
        <v>0</v>
      </c>
      <c r="T35" s="485">
        <f t="shared" si="6"/>
        <v>0</v>
      </c>
      <c r="U35" s="485">
        <f t="shared" si="7"/>
        <v>0</v>
      </c>
      <c r="V35" s="485">
        <f t="shared" si="8"/>
        <v>0</v>
      </c>
      <c r="W35" s="11"/>
      <c r="X35" s="645"/>
      <c r="Y35" s="128" t="s">
        <v>124</v>
      </c>
      <c r="Z35" s="485">
        <f t="shared" si="9"/>
        <v>0</v>
      </c>
      <c r="AA35" s="485">
        <f t="shared" si="10"/>
        <v>0</v>
      </c>
      <c r="AB35" s="485">
        <f t="shared" si="1"/>
        <v>0</v>
      </c>
      <c r="AC35" s="485">
        <f t="shared" si="2"/>
        <v>0</v>
      </c>
      <c r="AD35" s="485">
        <f t="shared" si="3"/>
        <v>0</v>
      </c>
      <c r="AE35"/>
      <c r="AF35"/>
      <c r="AG35"/>
      <c r="AH35"/>
      <c r="AI35"/>
      <c r="AJ35"/>
      <c r="AK35"/>
      <c r="AL35"/>
      <c r="AM35"/>
      <c r="AN35"/>
      <c r="AO35"/>
      <c r="AP35"/>
      <c r="AQ35"/>
      <c r="AR35"/>
      <c r="AS35"/>
      <c r="AT35"/>
      <c r="AU35"/>
      <c r="AV35"/>
      <c r="AW35"/>
      <c r="AX35"/>
      <c r="AY35"/>
      <c r="AZ35"/>
      <c r="BA35"/>
      <c r="BB35"/>
      <c r="BC35"/>
      <c r="BD35"/>
      <c r="BE35"/>
      <c r="BF35"/>
      <c r="BG35"/>
      <c r="BH35"/>
      <c r="BI35"/>
      <c r="BJ35"/>
    </row>
    <row r="36" spans="1:62" ht="21" customHeight="1">
      <c r="A36" s="11"/>
      <c r="B36" s="136" t="s">
        <v>313</v>
      </c>
      <c r="C36" s="675">
        <f>D24*'INITIAL DATA'!K83</f>
        <v>0.8419440318038347</v>
      </c>
      <c r="D36" s="675"/>
      <c r="E36" s="134"/>
      <c r="F36" s="135"/>
      <c r="G36" s="22"/>
      <c r="H36" s="645"/>
      <c r="I36" s="128" t="s">
        <v>126</v>
      </c>
      <c r="J36" s="485">
        <f>(C10*E61)/2</f>
        <v>19289.568407638002</v>
      </c>
      <c r="K36" s="485">
        <f>J36*(1+Dashboard!$D$16)</f>
        <v>20254.046828019902</v>
      </c>
      <c r="L36" s="485">
        <f>K36*(1+Dashboard!$D$16)</f>
        <v>21266.749169420898</v>
      </c>
      <c r="M36" s="485">
        <f>L36*(1+Dashboard!$D$16)</f>
        <v>22330.086627891946</v>
      </c>
      <c r="N36" s="485">
        <f>M36*(1+Dashboard!$D$16)</f>
        <v>23446.590959286543</v>
      </c>
      <c r="O36"/>
      <c r="P36" s="645"/>
      <c r="Q36" s="128" t="s">
        <v>126</v>
      </c>
      <c r="R36" s="485">
        <f t="shared" si="4"/>
        <v>19289.568407638002</v>
      </c>
      <c r="S36" s="485">
        <f t="shared" si="5"/>
        <v>20254.046828019902</v>
      </c>
      <c r="T36" s="485">
        <f t="shared" si="6"/>
        <v>21266.749169420898</v>
      </c>
      <c r="U36" s="485">
        <f t="shared" si="7"/>
        <v>22330.086627891946</v>
      </c>
      <c r="V36" s="485">
        <f t="shared" si="8"/>
        <v>23446.590959286543</v>
      </c>
      <c r="W36" s="11"/>
      <c r="X36" s="645"/>
      <c r="Y36" s="128" t="s">
        <v>126</v>
      </c>
      <c r="Z36" s="485">
        <f t="shared" si="9"/>
        <v>19289.568407638002</v>
      </c>
      <c r="AA36" s="485">
        <f t="shared" si="10"/>
        <v>20254.046828019902</v>
      </c>
      <c r="AB36" s="485">
        <f t="shared" si="1"/>
        <v>21266.749169420898</v>
      </c>
      <c r="AC36" s="485">
        <f t="shared" si="2"/>
        <v>22330.086627891946</v>
      </c>
      <c r="AD36" s="485">
        <f t="shared" si="3"/>
        <v>23446.590959286543</v>
      </c>
      <c r="AE36"/>
      <c r="AF36"/>
      <c r="AG36"/>
      <c r="AH36"/>
      <c r="AI36"/>
      <c r="AJ36"/>
      <c r="AK36"/>
      <c r="AL36"/>
      <c r="AM36"/>
      <c r="AN36"/>
      <c r="AO36"/>
      <c r="AP36"/>
      <c r="AQ36"/>
      <c r="AR36"/>
      <c r="AS36"/>
      <c r="AT36"/>
      <c r="AU36"/>
      <c r="AV36"/>
      <c r="AW36"/>
      <c r="AX36"/>
      <c r="AY36"/>
      <c r="AZ36"/>
      <c r="BA36"/>
      <c r="BB36"/>
      <c r="BC36"/>
      <c r="BD36"/>
      <c r="BE36"/>
      <c r="BF36"/>
      <c r="BG36"/>
      <c r="BH36"/>
      <c r="BI36"/>
      <c r="BJ36"/>
    </row>
    <row r="37" spans="1:62" ht="21" customHeight="1">
      <c r="A37" s="11"/>
      <c r="B37" s="136" t="s">
        <v>314</v>
      </c>
      <c r="C37" s="675">
        <f>D24*'INITIAL DATA'!K87</f>
        <v>1.4438482265379615</v>
      </c>
      <c r="D37" s="675"/>
      <c r="E37" s="134"/>
      <c r="F37" s="135"/>
      <c r="G37" s="22"/>
      <c r="H37" s="645"/>
      <c r="I37" s="128" t="s">
        <v>127</v>
      </c>
      <c r="J37" s="485">
        <f>(F47*D61)/2</f>
        <v>3703.5971342664961</v>
      </c>
      <c r="K37" s="485">
        <f>J37*(1+Dashboard!$D$16)</f>
        <v>3888.7769909798212</v>
      </c>
      <c r="L37" s="485">
        <f>K37*(1+Dashboard!$D$16)</f>
        <v>4083.2158405288124</v>
      </c>
      <c r="M37" s="485">
        <f>L37*(1+Dashboard!$D$16)</f>
        <v>4287.3766325552533</v>
      </c>
      <c r="N37" s="485">
        <f>M37*(1+Dashboard!$D$16)</f>
        <v>4501.7454641830163</v>
      </c>
      <c r="O37"/>
      <c r="P37" s="645"/>
      <c r="Q37" s="128" t="s">
        <v>128</v>
      </c>
      <c r="R37" s="485">
        <f>J37</f>
        <v>3703.5971342664961</v>
      </c>
      <c r="S37" s="485">
        <f t="shared" si="5"/>
        <v>3888.7769909798212</v>
      </c>
      <c r="T37" s="485">
        <f t="shared" si="6"/>
        <v>4083.2158405288124</v>
      </c>
      <c r="U37" s="485">
        <f t="shared" si="7"/>
        <v>4287.3766325552533</v>
      </c>
      <c r="V37" s="485">
        <f t="shared" si="8"/>
        <v>4501.7454641830163</v>
      </c>
      <c r="W37" s="11"/>
      <c r="X37" s="645"/>
      <c r="Y37" s="128" t="s">
        <v>128</v>
      </c>
      <c r="Z37" s="485">
        <f>R37</f>
        <v>3703.5971342664961</v>
      </c>
      <c r="AA37" s="485">
        <f t="shared" si="10"/>
        <v>3888.7769909798212</v>
      </c>
      <c r="AB37" s="485">
        <f t="shared" si="1"/>
        <v>4083.2158405288124</v>
      </c>
      <c r="AC37" s="485">
        <f t="shared" si="2"/>
        <v>4287.3766325552533</v>
      </c>
      <c r="AD37" s="485">
        <f t="shared" si="3"/>
        <v>4501.7454641830163</v>
      </c>
      <c r="AE37"/>
      <c r="AF37"/>
      <c r="AG37"/>
      <c r="AH37"/>
      <c r="AI37"/>
      <c r="AJ37"/>
      <c r="AK37"/>
      <c r="AL37"/>
      <c r="AM37"/>
      <c r="AN37"/>
      <c r="AO37"/>
      <c r="AP37"/>
      <c r="AQ37"/>
      <c r="AR37"/>
      <c r="AS37"/>
      <c r="AT37"/>
      <c r="AU37"/>
      <c r="AV37"/>
      <c r="AW37"/>
      <c r="AX37"/>
      <c r="AY37"/>
      <c r="AZ37"/>
      <c r="BA37"/>
      <c r="BB37"/>
      <c r="BC37"/>
      <c r="BD37"/>
      <c r="BE37"/>
      <c r="BF37"/>
      <c r="BG37"/>
      <c r="BH37"/>
      <c r="BI37"/>
      <c r="BJ37"/>
    </row>
    <row r="38" spans="1:62" ht="21" customHeight="1">
      <c r="A38" s="11"/>
      <c r="B38" s="136" t="s">
        <v>315</v>
      </c>
      <c r="C38" s="675">
        <f>D24*'INITIAL DATA'!K84</f>
        <v>0.11357887733659196</v>
      </c>
      <c r="D38" s="675"/>
      <c r="E38" s="134"/>
      <c r="F38" s="135"/>
      <c r="G38" s="22"/>
      <c r="H38" s="645"/>
      <c r="I38" s="128" t="s">
        <v>129</v>
      </c>
      <c r="J38" s="485">
        <f>'INTERNAL SHIPMENT'!I55/2</f>
        <v>136183.34483186866</v>
      </c>
      <c r="K38" s="485">
        <f>'INTERNAL SHIPMENT'!O55/2</f>
        <v>149828.55751818421</v>
      </c>
      <c r="L38" s="485">
        <f>'INTERNAL SHIPMENT'!U55/2</f>
        <v>155826.5055123248</v>
      </c>
      <c r="M38" s="485">
        <f>'INTERNAL SHIPMENT'!AA55/2</f>
        <v>158486.24237601974</v>
      </c>
      <c r="N38" s="485">
        <f>'INTERNAL SHIPMENT'!AG55/2</f>
        <v>157170.01713007331</v>
      </c>
      <c r="O38"/>
      <c r="P38" s="645"/>
      <c r="Q38" s="128" t="s">
        <v>129</v>
      </c>
      <c r="R38" s="485">
        <f t="shared" si="4"/>
        <v>136183.34483186866</v>
      </c>
      <c r="S38" s="485">
        <f t="shared" si="5"/>
        <v>149828.55751818421</v>
      </c>
      <c r="T38" s="485">
        <f t="shared" si="6"/>
        <v>155826.5055123248</v>
      </c>
      <c r="U38" s="485">
        <f t="shared" si="7"/>
        <v>158486.24237601974</v>
      </c>
      <c r="V38" s="485">
        <f t="shared" si="8"/>
        <v>157170.01713007331</v>
      </c>
      <c r="W38" s="11"/>
      <c r="X38" s="645"/>
      <c r="Y38" s="128" t="s">
        <v>129</v>
      </c>
      <c r="Z38" s="485">
        <f t="shared" ref="Z38:Z49" si="11">R38</f>
        <v>136183.34483186866</v>
      </c>
      <c r="AA38" s="485">
        <f t="shared" si="10"/>
        <v>149828.55751818421</v>
      </c>
      <c r="AB38" s="485">
        <f t="shared" si="1"/>
        <v>155826.5055123248</v>
      </c>
      <c r="AC38" s="485">
        <f t="shared" si="2"/>
        <v>158486.24237601974</v>
      </c>
      <c r="AD38" s="485">
        <f t="shared" si="3"/>
        <v>157170.01713007331</v>
      </c>
      <c r="AE38"/>
      <c r="AF38"/>
      <c r="AG38"/>
      <c r="AH38"/>
      <c r="AI38"/>
      <c r="AJ38"/>
      <c r="AK38"/>
      <c r="AL38"/>
      <c r="AM38"/>
      <c r="AN38"/>
      <c r="AO38"/>
      <c r="AP38"/>
      <c r="AQ38"/>
      <c r="AR38"/>
      <c r="AS38"/>
      <c r="AT38"/>
      <c r="AU38"/>
      <c r="AV38"/>
      <c r="AW38"/>
      <c r="AX38"/>
      <c r="AY38"/>
      <c r="AZ38"/>
      <c r="BA38"/>
      <c r="BB38"/>
      <c r="BC38"/>
      <c r="BD38"/>
      <c r="BE38"/>
      <c r="BF38"/>
      <c r="BG38"/>
      <c r="BH38"/>
      <c r="BI38"/>
      <c r="BJ38"/>
    </row>
    <row r="39" spans="1:62" ht="21" customHeight="1">
      <c r="A39" s="11"/>
      <c r="B39" s="132"/>
      <c r="C39" s="132"/>
      <c r="D39" s="133"/>
      <c r="E39" s="134"/>
      <c r="F39" s="135"/>
      <c r="G39" s="22"/>
      <c r="H39" s="645"/>
      <c r="I39" s="128" t="s">
        <v>130</v>
      </c>
      <c r="J39" s="524">
        <v>0</v>
      </c>
      <c r="K39" s="485">
        <f>J39*(1+Dashboard!$D$16)</f>
        <v>0</v>
      </c>
      <c r="L39" s="485">
        <f>K39*(1+Dashboard!$D$16)</f>
        <v>0</v>
      </c>
      <c r="M39" s="485">
        <f>L39*(1+Dashboard!$D$16)</f>
        <v>0</v>
      </c>
      <c r="N39" s="485">
        <f>M39*(1+Dashboard!$D$16)</f>
        <v>0</v>
      </c>
      <c r="O39"/>
      <c r="P39" s="645"/>
      <c r="Q39" s="128" t="s">
        <v>130</v>
      </c>
      <c r="R39" s="524">
        <f t="shared" si="4"/>
        <v>0</v>
      </c>
      <c r="S39" s="485">
        <f t="shared" si="5"/>
        <v>0</v>
      </c>
      <c r="T39" s="485">
        <f t="shared" si="6"/>
        <v>0</v>
      </c>
      <c r="U39" s="485">
        <f t="shared" si="7"/>
        <v>0</v>
      </c>
      <c r="V39" s="485">
        <f t="shared" si="8"/>
        <v>0</v>
      </c>
      <c r="W39" s="11"/>
      <c r="X39" s="645"/>
      <c r="Y39" s="128" t="s">
        <v>130</v>
      </c>
      <c r="Z39" s="524">
        <f t="shared" si="11"/>
        <v>0</v>
      </c>
      <c r="AA39" s="485">
        <f t="shared" si="10"/>
        <v>0</v>
      </c>
      <c r="AB39" s="485">
        <f t="shared" si="1"/>
        <v>0</v>
      </c>
      <c r="AC39" s="485">
        <f t="shared" si="2"/>
        <v>0</v>
      </c>
      <c r="AD39" s="485">
        <f t="shared" si="3"/>
        <v>0</v>
      </c>
      <c r="AE39"/>
      <c r="AF39"/>
      <c r="AG39"/>
      <c r="AH39"/>
      <c r="AI39"/>
      <c r="AJ39"/>
      <c r="AK39"/>
      <c r="AL39"/>
      <c r="AM39"/>
      <c r="AN39"/>
      <c r="AO39"/>
      <c r="AP39"/>
      <c r="AQ39"/>
      <c r="AR39"/>
      <c r="AS39"/>
      <c r="AT39"/>
      <c r="AU39"/>
      <c r="AV39"/>
      <c r="AW39"/>
      <c r="AX39"/>
      <c r="AY39"/>
      <c r="AZ39"/>
      <c r="BA39"/>
      <c r="BB39"/>
      <c r="BC39"/>
      <c r="BD39"/>
      <c r="BE39"/>
      <c r="BF39"/>
      <c r="BG39"/>
      <c r="BH39"/>
      <c r="BI39"/>
      <c r="BJ39"/>
    </row>
    <row r="40" spans="1:62" ht="21" customHeight="1">
      <c r="A40" s="11"/>
      <c r="B40" s="132"/>
      <c r="C40" s="132"/>
      <c r="D40" s="133"/>
      <c r="E40" s="134"/>
      <c r="F40" s="135"/>
      <c r="G40" s="22"/>
      <c r="H40" s="645"/>
      <c r="I40" s="128" t="s">
        <v>131</v>
      </c>
      <c r="J40" s="524">
        <v>0</v>
      </c>
      <c r="K40" s="485">
        <f>J40*(1+Dashboard!$D$16)</f>
        <v>0</v>
      </c>
      <c r="L40" s="485">
        <f>K40*(1+Dashboard!$D$16)</f>
        <v>0</v>
      </c>
      <c r="M40" s="485">
        <f>L40*(1+Dashboard!$D$16)</f>
        <v>0</v>
      </c>
      <c r="N40" s="485">
        <f>M40*(1+Dashboard!$D$16)</f>
        <v>0</v>
      </c>
      <c r="O40"/>
      <c r="P40" s="645"/>
      <c r="Q40" s="128" t="s">
        <v>131</v>
      </c>
      <c r="R40" s="524">
        <f t="shared" si="4"/>
        <v>0</v>
      </c>
      <c r="S40" s="485">
        <f t="shared" si="5"/>
        <v>0</v>
      </c>
      <c r="T40" s="485">
        <f t="shared" si="6"/>
        <v>0</v>
      </c>
      <c r="U40" s="485">
        <f t="shared" si="7"/>
        <v>0</v>
      </c>
      <c r="V40" s="485">
        <f t="shared" si="8"/>
        <v>0</v>
      </c>
      <c r="W40" s="11"/>
      <c r="X40" s="645"/>
      <c r="Y40" s="128" t="s">
        <v>131</v>
      </c>
      <c r="Z40" s="524">
        <f t="shared" si="11"/>
        <v>0</v>
      </c>
      <c r="AA40" s="485">
        <f t="shared" si="10"/>
        <v>0</v>
      </c>
      <c r="AB40" s="485">
        <f t="shared" si="1"/>
        <v>0</v>
      </c>
      <c r="AC40" s="485">
        <f t="shared" si="2"/>
        <v>0</v>
      </c>
      <c r="AD40" s="485">
        <f t="shared" si="3"/>
        <v>0</v>
      </c>
      <c r="AE40"/>
      <c r="AF40"/>
      <c r="AG40"/>
      <c r="AH40"/>
      <c r="AI40"/>
      <c r="AJ40"/>
      <c r="AK40"/>
      <c r="AL40"/>
      <c r="AM40"/>
      <c r="AN40"/>
      <c r="AO40"/>
      <c r="AP40"/>
      <c r="AQ40"/>
      <c r="AR40"/>
      <c r="AS40"/>
      <c r="AT40"/>
      <c r="AU40"/>
      <c r="AV40"/>
      <c r="AW40"/>
      <c r="AX40"/>
      <c r="AY40"/>
      <c r="AZ40"/>
      <c r="BA40"/>
      <c r="BB40"/>
      <c r="BC40"/>
      <c r="BD40"/>
      <c r="BE40"/>
      <c r="BF40"/>
      <c r="BG40"/>
      <c r="BH40"/>
      <c r="BI40"/>
      <c r="BJ40"/>
    </row>
    <row r="41" spans="1:62" ht="21" customHeight="1">
      <c r="A41" s="11"/>
      <c r="B41" s="132"/>
      <c r="C41" s="132"/>
      <c r="D41" s="11"/>
      <c r="E41" s="11"/>
      <c r="F41" s="22"/>
      <c r="G41" s="22"/>
      <c r="H41" s="645"/>
      <c r="I41" s="360" t="s">
        <v>20</v>
      </c>
      <c r="J41" s="486">
        <f>SUM(J34:J40)</f>
        <v>185331.85736718061</v>
      </c>
      <c r="K41" s="486">
        <f>SUM(K34:K40)</f>
        <v>201434.49568026175</v>
      </c>
      <c r="L41" s="486">
        <f>SUM(L34:L40)</f>
        <v>210012.74058250623</v>
      </c>
      <c r="M41" s="486">
        <f>SUM(M34:M40)</f>
        <v>215381.78919971024</v>
      </c>
      <c r="N41" s="486">
        <f>SUM(N34:N40)</f>
        <v>216910.34129494836</v>
      </c>
      <c r="O41"/>
      <c r="P41" s="645"/>
      <c r="Q41" s="360" t="s">
        <v>20</v>
      </c>
      <c r="R41" s="486">
        <f t="shared" si="4"/>
        <v>185331.85736718061</v>
      </c>
      <c r="S41" s="486">
        <f t="shared" si="5"/>
        <v>201434.49568026175</v>
      </c>
      <c r="T41" s="486">
        <f t="shared" si="6"/>
        <v>210012.74058250623</v>
      </c>
      <c r="U41" s="486">
        <f t="shared" si="7"/>
        <v>215381.78919971024</v>
      </c>
      <c r="V41" s="486">
        <f t="shared" si="8"/>
        <v>216910.34129494836</v>
      </c>
      <c r="W41" s="11"/>
      <c r="X41" s="645"/>
      <c r="Y41" s="360" t="s">
        <v>20</v>
      </c>
      <c r="Z41" s="486">
        <f t="shared" si="11"/>
        <v>185331.85736718061</v>
      </c>
      <c r="AA41" s="486">
        <f t="shared" si="10"/>
        <v>201434.49568026175</v>
      </c>
      <c r="AB41" s="486">
        <f t="shared" si="1"/>
        <v>210012.74058250623</v>
      </c>
      <c r="AC41" s="486">
        <f t="shared" si="2"/>
        <v>215381.78919971024</v>
      </c>
      <c r="AD41" s="486">
        <f t="shared" si="3"/>
        <v>216910.34129494836</v>
      </c>
      <c r="AE41"/>
      <c r="AF41"/>
      <c r="AG41"/>
      <c r="AH41"/>
      <c r="AI41"/>
      <c r="AJ41"/>
      <c r="AK41"/>
      <c r="AL41"/>
      <c r="AM41"/>
      <c r="AN41"/>
      <c r="AO41"/>
      <c r="AP41"/>
      <c r="AQ41"/>
      <c r="AR41"/>
      <c r="AS41"/>
      <c r="AT41"/>
      <c r="AU41"/>
      <c r="AV41"/>
      <c r="AW41"/>
      <c r="AX41"/>
      <c r="AY41"/>
      <c r="AZ41"/>
      <c r="BA41"/>
      <c r="BB41"/>
      <c r="BC41"/>
      <c r="BD41"/>
      <c r="BE41"/>
      <c r="BF41"/>
      <c r="BG41"/>
      <c r="BH41"/>
      <c r="BI41"/>
      <c r="BJ41"/>
    </row>
    <row r="42" spans="1:62" ht="21" customHeight="1">
      <c r="A42" s="11"/>
      <c r="B42" s="674" t="s">
        <v>144</v>
      </c>
      <c r="C42" s="674"/>
      <c r="D42" s="674"/>
      <c r="E42" s="674"/>
      <c r="F42" s="674"/>
      <c r="G42"/>
      <c r="H42" s="637" t="s">
        <v>333</v>
      </c>
      <c r="I42" s="128" t="s">
        <v>122</v>
      </c>
      <c r="J42" s="485">
        <f>C32*C10</f>
        <v>26155.346993407456</v>
      </c>
      <c r="K42" s="485">
        <f>J42*(1+Dashboard!$D$16)</f>
        <v>27463.114343077832</v>
      </c>
      <c r="L42" s="485">
        <f>K42*(1+Dashboard!$D$16)</f>
        <v>28836.270060231724</v>
      </c>
      <c r="M42" s="485">
        <f>L42*(1+Dashboard!$D$16)</f>
        <v>30278.083563243312</v>
      </c>
      <c r="N42" s="485">
        <f>M42*(1+Dashboard!$D$16)</f>
        <v>31791.987741405479</v>
      </c>
      <c r="O42"/>
      <c r="P42" s="637" t="s">
        <v>333</v>
      </c>
      <c r="Q42" s="128" t="s">
        <v>122</v>
      </c>
      <c r="R42" s="485">
        <f t="shared" si="4"/>
        <v>26155.346993407456</v>
      </c>
      <c r="S42" s="485">
        <f t="shared" si="5"/>
        <v>27463.114343077832</v>
      </c>
      <c r="T42" s="485">
        <f t="shared" si="6"/>
        <v>28836.270060231724</v>
      </c>
      <c r="U42" s="485">
        <f t="shared" si="7"/>
        <v>30278.083563243312</v>
      </c>
      <c r="V42" s="485">
        <f t="shared" si="8"/>
        <v>31791.987741405479</v>
      </c>
      <c r="W42" s="11"/>
      <c r="X42" s="637" t="s">
        <v>333</v>
      </c>
      <c r="Y42" s="128" t="s">
        <v>122</v>
      </c>
      <c r="Z42" s="485">
        <f t="shared" si="11"/>
        <v>26155.346993407456</v>
      </c>
      <c r="AA42" s="485">
        <f t="shared" si="10"/>
        <v>27463.114343077832</v>
      </c>
      <c r="AB42" s="485">
        <f t="shared" si="1"/>
        <v>28836.270060231724</v>
      </c>
      <c r="AC42" s="485">
        <f t="shared" si="2"/>
        <v>30278.083563243312</v>
      </c>
      <c r="AD42" s="485">
        <f t="shared" si="3"/>
        <v>31791.987741405479</v>
      </c>
      <c r="AE42"/>
      <c r="AF42"/>
      <c r="AG42"/>
      <c r="AH42"/>
      <c r="AI42"/>
      <c r="AJ42"/>
      <c r="AK42"/>
      <c r="AL42"/>
      <c r="AM42"/>
      <c r="AN42"/>
      <c r="AO42"/>
      <c r="AP42"/>
      <c r="AQ42"/>
      <c r="AR42"/>
      <c r="AS42"/>
      <c r="AT42"/>
      <c r="AU42"/>
      <c r="AV42"/>
      <c r="AW42"/>
      <c r="AX42"/>
      <c r="AY42"/>
      <c r="AZ42"/>
      <c r="BA42"/>
      <c r="BB42"/>
      <c r="BC42"/>
      <c r="BD42"/>
      <c r="BE42"/>
      <c r="BF42"/>
      <c r="BG42"/>
      <c r="BH42"/>
      <c r="BI42"/>
      <c r="BJ42"/>
    </row>
    <row r="43" spans="1:62" ht="21" customHeight="1">
      <c r="A43" s="11"/>
      <c r="B43" s="18"/>
      <c r="C43" s="18"/>
      <c r="D43" s="11"/>
      <c r="E43" s="11"/>
      <c r="F43" s="22"/>
      <c r="G43" s="22"/>
      <c r="H43" s="637"/>
      <c r="I43" s="128" t="s">
        <v>124</v>
      </c>
      <c r="J43" s="485">
        <f>C101+C100</f>
        <v>0</v>
      </c>
      <c r="K43" s="485">
        <f>J43*(1+Dashboard!$D$16)</f>
        <v>0</v>
      </c>
      <c r="L43" s="485">
        <f>K43*(1+Dashboard!$D$16)</f>
        <v>0</v>
      </c>
      <c r="M43" s="485">
        <f>L43*(1+Dashboard!$D$16)</f>
        <v>0</v>
      </c>
      <c r="N43" s="485">
        <f>M43*(1+Dashboard!$D$16)</f>
        <v>0</v>
      </c>
      <c r="O43"/>
      <c r="P43" s="637"/>
      <c r="Q43" s="128" t="s">
        <v>124</v>
      </c>
      <c r="R43" s="485">
        <f t="shared" si="4"/>
        <v>0</v>
      </c>
      <c r="S43" s="485">
        <f t="shared" si="5"/>
        <v>0</v>
      </c>
      <c r="T43" s="485">
        <f t="shared" si="6"/>
        <v>0</v>
      </c>
      <c r="U43" s="485">
        <f t="shared" si="7"/>
        <v>0</v>
      </c>
      <c r="V43" s="485">
        <f t="shared" si="8"/>
        <v>0</v>
      </c>
      <c r="W43" s="11"/>
      <c r="X43" s="637"/>
      <c r="Y43" s="128" t="s">
        <v>124</v>
      </c>
      <c r="Z43" s="485">
        <f t="shared" si="11"/>
        <v>0</v>
      </c>
      <c r="AA43" s="485">
        <f t="shared" si="10"/>
        <v>0</v>
      </c>
      <c r="AB43" s="485">
        <f t="shared" si="1"/>
        <v>0</v>
      </c>
      <c r="AC43" s="485">
        <f t="shared" si="2"/>
        <v>0</v>
      </c>
      <c r="AD43" s="485">
        <f t="shared" si="3"/>
        <v>0</v>
      </c>
      <c r="AE43"/>
      <c r="AF43"/>
      <c r="AG43"/>
      <c r="AH43"/>
      <c r="AI43"/>
      <c r="AJ43"/>
      <c r="AK43"/>
      <c r="AL43"/>
      <c r="AM43"/>
      <c r="AN43"/>
      <c r="AO43"/>
      <c r="AP43"/>
      <c r="AQ43"/>
      <c r="AR43"/>
      <c r="AS43"/>
      <c r="AT43"/>
      <c r="AU43"/>
      <c r="AV43"/>
      <c r="AW43"/>
      <c r="AX43"/>
      <c r="AY43"/>
      <c r="AZ43"/>
      <c r="BA43"/>
      <c r="BB43"/>
      <c r="BC43"/>
      <c r="BD43"/>
      <c r="BE43"/>
      <c r="BF43"/>
      <c r="BG43"/>
      <c r="BH43"/>
      <c r="BI43"/>
      <c r="BJ43"/>
    </row>
    <row r="44" spans="1:62" ht="21" customHeight="1">
      <c r="A44" s="11"/>
      <c r="B44" s="681" t="s">
        <v>145</v>
      </c>
      <c r="C44" s="682"/>
      <c r="D44" s="139" t="s">
        <v>146</v>
      </c>
      <c r="E44" s="138" t="s">
        <v>147</v>
      </c>
      <c r="F44" s="140" t="s">
        <v>148</v>
      </c>
      <c r="G44" s="19"/>
      <c r="H44" s="637"/>
      <c r="I44" s="128" t="s">
        <v>126</v>
      </c>
      <c r="J44" s="485">
        <f>J36</f>
        <v>19289.568407638002</v>
      </c>
      <c r="K44" s="485">
        <f>J44*(1+Dashboard!$D$16)</f>
        <v>20254.046828019902</v>
      </c>
      <c r="L44" s="485">
        <f>K44*(1+Dashboard!$D$16)</f>
        <v>21266.749169420898</v>
      </c>
      <c r="M44" s="485">
        <f>L44*(1+Dashboard!$D$16)</f>
        <v>22330.086627891946</v>
      </c>
      <c r="N44" s="485">
        <f>M44*(1+Dashboard!$D$16)</f>
        <v>23446.590959286543</v>
      </c>
      <c r="O44"/>
      <c r="P44" s="637"/>
      <c r="Q44" s="128" t="s">
        <v>126</v>
      </c>
      <c r="R44" s="485">
        <f t="shared" si="4"/>
        <v>19289.568407638002</v>
      </c>
      <c r="S44" s="485">
        <f t="shared" si="5"/>
        <v>20254.046828019902</v>
      </c>
      <c r="T44" s="485">
        <f t="shared" si="6"/>
        <v>21266.749169420898</v>
      </c>
      <c r="U44" s="485">
        <f t="shared" si="7"/>
        <v>22330.086627891946</v>
      </c>
      <c r="V44" s="485">
        <f t="shared" si="8"/>
        <v>23446.590959286543</v>
      </c>
      <c r="W44" s="11"/>
      <c r="X44" s="637"/>
      <c r="Y44" s="128" t="s">
        <v>126</v>
      </c>
      <c r="Z44" s="485">
        <f t="shared" si="11"/>
        <v>19289.568407638002</v>
      </c>
      <c r="AA44" s="485">
        <f t="shared" si="10"/>
        <v>20254.046828019902</v>
      </c>
      <c r="AB44" s="485">
        <f t="shared" si="1"/>
        <v>21266.749169420898</v>
      </c>
      <c r="AC44" s="485">
        <f t="shared" si="2"/>
        <v>22330.086627891946</v>
      </c>
      <c r="AD44" s="485">
        <f t="shared" si="3"/>
        <v>23446.590959286543</v>
      </c>
      <c r="AE44"/>
      <c r="AF44"/>
      <c r="AG44"/>
      <c r="AH44"/>
      <c r="AI44"/>
      <c r="AJ44"/>
      <c r="AK44"/>
      <c r="AL44"/>
      <c r="AM44"/>
      <c r="AN44"/>
      <c r="AO44"/>
      <c r="AP44"/>
      <c r="AQ44"/>
      <c r="AR44"/>
      <c r="AS44"/>
      <c r="AT44"/>
      <c r="AU44"/>
      <c r="AV44"/>
      <c r="AW44"/>
      <c r="AX44"/>
      <c r="AY44"/>
      <c r="AZ44"/>
      <c r="BA44"/>
      <c r="BB44"/>
      <c r="BC44"/>
      <c r="BD44"/>
      <c r="BE44"/>
      <c r="BF44"/>
      <c r="BG44"/>
      <c r="BH44"/>
      <c r="BI44"/>
      <c r="BJ44"/>
    </row>
    <row r="45" spans="1:62" ht="21" customHeight="1">
      <c r="A45" s="11"/>
      <c r="B45" s="136" t="s">
        <v>324</v>
      </c>
      <c r="C45" s="518">
        <v>400</v>
      </c>
      <c r="D45" s="519">
        <v>10</v>
      </c>
      <c r="E45" s="138">
        <f>(C45*D45)/100</f>
        <v>40</v>
      </c>
      <c r="F45" s="141">
        <f>E45*$C$11</f>
        <v>64</v>
      </c>
      <c r="G45" s="142"/>
      <c r="H45" s="637"/>
      <c r="I45" s="128" t="s">
        <v>127</v>
      </c>
      <c r="J45" s="485">
        <f>J37</f>
        <v>3703.5971342664961</v>
      </c>
      <c r="K45" s="485">
        <f>J45*(1+Dashboard!$D$16)</f>
        <v>3888.7769909798212</v>
      </c>
      <c r="L45" s="485">
        <f>K45*(1+Dashboard!$D$16)</f>
        <v>4083.2158405288124</v>
      </c>
      <c r="M45" s="485">
        <f>L45*(1+Dashboard!$D$16)</f>
        <v>4287.3766325552533</v>
      </c>
      <c r="N45" s="485">
        <f>M45*(1+Dashboard!$D$16)</f>
        <v>4501.7454641830163</v>
      </c>
      <c r="O45"/>
      <c r="P45" s="637"/>
      <c r="Q45" s="128" t="s">
        <v>128</v>
      </c>
      <c r="R45" s="485">
        <f t="shared" si="4"/>
        <v>3703.5971342664961</v>
      </c>
      <c r="S45" s="485">
        <f t="shared" si="5"/>
        <v>3888.7769909798212</v>
      </c>
      <c r="T45" s="485">
        <f t="shared" si="6"/>
        <v>4083.2158405288124</v>
      </c>
      <c r="U45" s="485">
        <f t="shared" si="7"/>
        <v>4287.3766325552533</v>
      </c>
      <c r="V45" s="485">
        <f t="shared" si="8"/>
        <v>4501.7454641830163</v>
      </c>
      <c r="W45" s="11"/>
      <c r="X45" s="637"/>
      <c r="Y45" s="128" t="s">
        <v>128</v>
      </c>
      <c r="Z45" s="485">
        <f t="shared" si="11"/>
        <v>3703.5971342664961</v>
      </c>
      <c r="AA45" s="485">
        <f t="shared" si="10"/>
        <v>3888.7769909798212</v>
      </c>
      <c r="AB45" s="485">
        <f t="shared" si="1"/>
        <v>4083.2158405288124</v>
      </c>
      <c r="AC45" s="485">
        <f t="shared" si="2"/>
        <v>4287.3766325552533</v>
      </c>
      <c r="AD45" s="485">
        <f t="shared" si="3"/>
        <v>4501.7454641830163</v>
      </c>
      <c r="AE45"/>
      <c r="AF45"/>
      <c r="AG45"/>
      <c r="AH45"/>
      <c r="AI45"/>
      <c r="AJ45"/>
      <c r="AK45"/>
      <c r="AL45"/>
      <c r="AM45"/>
      <c r="AN45"/>
      <c r="AO45"/>
      <c r="AP45"/>
      <c r="AQ45"/>
      <c r="AR45"/>
      <c r="AS45"/>
      <c r="AT45"/>
      <c r="AU45"/>
      <c r="AV45"/>
      <c r="AW45"/>
      <c r="AX45"/>
      <c r="AY45"/>
      <c r="AZ45"/>
      <c r="BA45"/>
      <c r="BB45"/>
      <c r="BC45"/>
      <c r="BD45"/>
      <c r="BE45"/>
      <c r="BF45"/>
      <c r="BG45"/>
      <c r="BH45"/>
      <c r="BI45"/>
      <c r="BJ45"/>
    </row>
    <row r="46" spans="1:62" ht="21" customHeight="1">
      <c r="A46" s="11"/>
      <c r="B46" s="136" t="s">
        <v>307</v>
      </c>
      <c r="C46" s="518">
        <v>100</v>
      </c>
      <c r="D46" s="519">
        <v>10</v>
      </c>
      <c r="E46" s="138">
        <f t="shared" ref="E46:E54" si="12">(C46*D46)/100</f>
        <v>10</v>
      </c>
      <c r="F46" s="141">
        <f>E46*$C$11</f>
        <v>16</v>
      </c>
      <c r="G46" s="142"/>
      <c r="H46" s="637"/>
      <c r="I46" s="128" t="s">
        <v>129</v>
      </c>
      <c r="J46" s="485">
        <f>J38</f>
        <v>136183.34483186866</v>
      </c>
      <c r="K46" s="485">
        <f t="shared" ref="K46:N46" si="13">K38</f>
        <v>149828.55751818421</v>
      </c>
      <c r="L46" s="485">
        <f t="shared" si="13"/>
        <v>155826.5055123248</v>
      </c>
      <c r="M46" s="485">
        <f t="shared" si="13"/>
        <v>158486.24237601974</v>
      </c>
      <c r="N46" s="485">
        <f t="shared" si="13"/>
        <v>157170.01713007331</v>
      </c>
      <c r="O46"/>
      <c r="P46" s="637"/>
      <c r="Q46" s="128" t="s">
        <v>129</v>
      </c>
      <c r="R46" s="485">
        <f t="shared" si="4"/>
        <v>136183.34483186866</v>
      </c>
      <c r="S46" s="485">
        <f t="shared" si="5"/>
        <v>149828.55751818421</v>
      </c>
      <c r="T46" s="485">
        <f t="shared" si="6"/>
        <v>155826.5055123248</v>
      </c>
      <c r="U46" s="485">
        <f t="shared" si="7"/>
        <v>158486.24237601974</v>
      </c>
      <c r="V46" s="485">
        <f t="shared" si="8"/>
        <v>157170.01713007331</v>
      </c>
      <c r="W46" s="11"/>
      <c r="X46" s="637"/>
      <c r="Y46" s="128" t="s">
        <v>129</v>
      </c>
      <c r="Z46" s="485">
        <f t="shared" si="11"/>
        <v>136183.34483186866</v>
      </c>
      <c r="AA46" s="485">
        <f t="shared" si="10"/>
        <v>149828.55751818421</v>
      </c>
      <c r="AB46" s="485">
        <f t="shared" si="1"/>
        <v>155826.5055123248</v>
      </c>
      <c r="AC46" s="485">
        <f t="shared" si="2"/>
        <v>158486.24237601974</v>
      </c>
      <c r="AD46" s="485">
        <f t="shared" si="3"/>
        <v>157170.01713007331</v>
      </c>
      <c r="AE46"/>
      <c r="AF46"/>
      <c r="AG46"/>
      <c r="AH46"/>
      <c r="AI46"/>
      <c r="AJ46"/>
      <c r="AK46"/>
      <c r="AL46"/>
      <c r="AM46"/>
      <c r="AN46"/>
      <c r="AO46"/>
      <c r="AP46"/>
      <c r="AQ46"/>
      <c r="AR46"/>
      <c r="AS46"/>
      <c r="AT46"/>
      <c r="AU46"/>
      <c r="AV46"/>
      <c r="AW46"/>
      <c r="AX46"/>
      <c r="AY46"/>
      <c r="AZ46"/>
      <c r="BA46"/>
      <c r="BB46"/>
      <c r="BC46"/>
      <c r="BD46"/>
      <c r="BE46"/>
      <c r="BF46"/>
      <c r="BG46"/>
      <c r="BH46"/>
      <c r="BI46"/>
      <c r="BJ46"/>
    </row>
    <row r="47" spans="1:62" ht="21" customHeight="1">
      <c r="A47" s="11"/>
      <c r="B47" s="136" t="s">
        <v>308</v>
      </c>
      <c r="C47" s="518">
        <v>100</v>
      </c>
      <c r="D47" s="519">
        <v>10</v>
      </c>
      <c r="E47" s="138">
        <f t="shared" si="12"/>
        <v>10</v>
      </c>
      <c r="F47" s="141">
        <f>E47*$C$11</f>
        <v>16</v>
      </c>
      <c r="G47" s="142"/>
      <c r="H47" s="637"/>
      <c r="I47" s="128" t="s">
        <v>130</v>
      </c>
      <c r="J47" s="524">
        <v>0</v>
      </c>
      <c r="K47" s="485">
        <f>J47*(1+Dashboard!$D$16)</f>
        <v>0</v>
      </c>
      <c r="L47" s="485">
        <f>K47*(1+Dashboard!$D$16)</f>
        <v>0</v>
      </c>
      <c r="M47" s="485">
        <f>L47*(1+Dashboard!$D$16)</f>
        <v>0</v>
      </c>
      <c r="N47" s="485">
        <f>M47*(1+Dashboard!$D$16)</f>
        <v>0</v>
      </c>
      <c r="O47"/>
      <c r="P47" s="637"/>
      <c r="Q47" s="128" t="s">
        <v>130</v>
      </c>
      <c r="R47" s="524">
        <f t="shared" si="4"/>
        <v>0</v>
      </c>
      <c r="S47" s="485">
        <f t="shared" si="5"/>
        <v>0</v>
      </c>
      <c r="T47" s="485">
        <f t="shared" si="6"/>
        <v>0</v>
      </c>
      <c r="U47" s="485">
        <f t="shared" si="7"/>
        <v>0</v>
      </c>
      <c r="V47" s="485">
        <f t="shared" si="8"/>
        <v>0</v>
      </c>
      <c r="W47" s="11"/>
      <c r="X47" s="637"/>
      <c r="Y47" s="128" t="s">
        <v>130</v>
      </c>
      <c r="Z47" s="524">
        <f t="shared" si="11"/>
        <v>0</v>
      </c>
      <c r="AA47" s="485">
        <f t="shared" si="10"/>
        <v>0</v>
      </c>
      <c r="AB47" s="485">
        <f t="shared" si="1"/>
        <v>0</v>
      </c>
      <c r="AC47" s="485">
        <f t="shared" si="2"/>
        <v>0</v>
      </c>
      <c r="AD47" s="485">
        <f t="shared" si="3"/>
        <v>0</v>
      </c>
      <c r="AE47"/>
      <c r="AF47"/>
      <c r="AG47"/>
      <c r="AH47"/>
      <c r="AI47"/>
      <c r="AJ47"/>
      <c r="AK47"/>
      <c r="AL47"/>
      <c r="AM47"/>
      <c r="AN47"/>
      <c r="AO47"/>
      <c r="AP47"/>
      <c r="AQ47"/>
      <c r="AR47"/>
      <c r="AS47"/>
      <c r="AT47"/>
      <c r="AU47"/>
      <c r="AV47"/>
      <c r="AW47"/>
      <c r="AX47"/>
      <c r="AY47"/>
      <c r="AZ47"/>
      <c r="BA47"/>
      <c r="BB47"/>
      <c r="BC47"/>
      <c r="BD47"/>
      <c r="BE47"/>
      <c r="BF47"/>
      <c r="BG47"/>
      <c r="BH47"/>
      <c r="BI47"/>
      <c r="BJ47"/>
    </row>
    <row r="48" spans="1:62" ht="21" customHeight="1">
      <c r="A48" s="11"/>
      <c r="B48" s="136" t="s">
        <v>309</v>
      </c>
      <c r="C48" s="518">
        <v>100</v>
      </c>
      <c r="D48" s="519">
        <v>10</v>
      </c>
      <c r="E48" s="143">
        <f t="shared" si="12"/>
        <v>10</v>
      </c>
      <c r="F48" s="144">
        <f>E48*$C$11</f>
        <v>16</v>
      </c>
      <c r="G48" s="142"/>
      <c r="H48" s="637"/>
      <c r="I48" s="128" t="s">
        <v>131</v>
      </c>
      <c r="J48" s="524">
        <v>0</v>
      </c>
      <c r="K48" s="485">
        <f>J48*(1+Dashboard!$D$16)</f>
        <v>0</v>
      </c>
      <c r="L48" s="485">
        <f>K48*(1+Dashboard!$D$16)</f>
        <v>0</v>
      </c>
      <c r="M48" s="485">
        <f>L48*(1+Dashboard!$D$16)</f>
        <v>0</v>
      </c>
      <c r="N48" s="485">
        <f>M48*(1+Dashboard!$D$16)</f>
        <v>0</v>
      </c>
      <c r="O48"/>
      <c r="P48" s="637"/>
      <c r="Q48" s="128" t="s">
        <v>131</v>
      </c>
      <c r="R48" s="524">
        <f t="shared" si="4"/>
        <v>0</v>
      </c>
      <c r="S48" s="485">
        <f t="shared" si="5"/>
        <v>0</v>
      </c>
      <c r="T48" s="485">
        <f t="shared" si="6"/>
        <v>0</v>
      </c>
      <c r="U48" s="485">
        <f t="shared" si="7"/>
        <v>0</v>
      </c>
      <c r="V48" s="485">
        <f t="shared" si="8"/>
        <v>0</v>
      </c>
      <c r="W48" s="11"/>
      <c r="X48" s="637"/>
      <c r="Y48" s="128" t="s">
        <v>131</v>
      </c>
      <c r="Z48" s="524">
        <f t="shared" si="11"/>
        <v>0</v>
      </c>
      <c r="AA48" s="485">
        <f t="shared" si="10"/>
        <v>0</v>
      </c>
      <c r="AB48" s="485">
        <f t="shared" si="1"/>
        <v>0</v>
      </c>
      <c r="AC48" s="485">
        <f t="shared" si="2"/>
        <v>0</v>
      </c>
      <c r="AD48" s="485">
        <f t="shared" si="3"/>
        <v>0</v>
      </c>
      <c r="AE48"/>
      <c r="AF48"/>
      <c r="AG48"/>
      <c r="AH48"/>
      <c r="AI48"/>
      <c r="AJ48"/>
      <c r="AK48"/>
      <c r="AL48"/>
      <c r="AM48"/>
      <c r="AN48"/>
      <c r="AO48"/>
      <c r="AP48"/>
      <c r="AQ48"/>
      <c r="AR48"/>
      <c r="AS48"/>
      <c r="AT48"/>
      <c r="AU48"/>
      <c r="AV48"/>
      <c r="AW48"/>
      <c r="AX48"/>
      <c r="AY48"/>
      <c r="AZ48"/>
      <c r="BA48"/>
      <c r="BB48"/>
      <c r="BC48"/>
      <c r="BD48"/>
      <c r="BE48"/>
      <c r="BF48"/>
      <c r="BG48"/>
      <c r="BH48"/>
      <c r="BI48"/>
      <c r="BJ48"/>
    </row>
    <row r="49" spans="1:62" ht="21" customHeight="1">
      <c r="A49" s="11"/>
      <c r="B49" s="136" t="s">
        <v>310</v>
      </c>
      <c r="C49" s="518">
        <v>100</v>
      </c>
      <c r="D49" s="519">
        <v>10</v>
      </c>
      <c r="E49" s="143">
        <f t="shared" si="12"/>
        <v>10</v>
      </c>
      <c r="F49" s="144">
        <f t="shared" ref="F49:F54" si="14">E49*$C$11</f>
        <v>16</v>
      </c>
      <c r="G49" s="142"/>
      <c r="H49" s="637"/>
      <c r="I49" s="360" t="s">
        <v>20</v>
      </c>
      <c r="J49" s="486">
        <f>SUM(J42:J48)</f>
        <v>185331.85736718061</v>
      </c>
      <c r="K49" s="486">
        <f>SUM(K42:K48)</f>
        <v>201434.49568026175</v>
      </c>
      <c r="L49" s="486">
        <f>SUM(L42:L48)</f>
        <v>210012.74058250623</v>
      </c>
      <c r="M49" s="486">
        <f>SUM(M42:M48)</f>
        <v>215381.78919971024</v>
      </c>
      <c r="N49" s="486">
        <f>SUM(N42:N48)</f>
        <v>216910.34129494836</v>
      </c>
      <c r="O49"/>
      <c r="P49" s="637"/>
      <c r="Q49" s="360" t="s">
        <v>20</v>
      </c>
      <c r="R49" s="486">
        <f t="shared" si="4"/>
        <v>185331.85736718061</v>
      </c>
      <c r="S49" s="486">
        <f t="shared" si="5"/>
        <v>201434.49568026175</v>
      </c>
      <c r="T49" s="486">
        <f t="shared" si="6"/>
        <v>210012.74058250623</v>
      </c>
      <c r="U49" s="486">
        <f t="shared" si="7"/>
        <v>215381.78919971024</v>
      </c>
      <c r="V49" s="486">
        <f t="shared" si="8"/>
        <v>216910.34129494836</v>
      </c>
      <c r="W49" s="11"/>
      <c r="X49" s="637"/>
      <c r="Y49" s="360" t="s">
        <v>20</v>
      </c>
      <c r="Z49" s="486">
        <f t="shared" si="11"/>
        <v>185331.85736718061</v>
      </c>
      <c r="AA49" s="486">
        <f t="shared" si="10"/>
        <v>201434.49568026175</v>
      </c>
      <c r="AB49" s="486">
        <f t="shared" si="1"/>
        <v>210012.74058250623</v>
      </c>
      <c r="AC49" s="486">
        <f t="shared" si="2"/>
        <v>215381.78919971024</v>
      </c>
      <c r="AD49" s="486">
        <f t="shared" si="3"/>
        <v>216910.34129494836</v>
      </c>
      <c r="AE49"/>
      <c r="AF49"/>
      <c r="AG49"/>
      <c r="AH49"/>
      <c r="AI49"/>
      <c r="AJ49"/>
      <c r="AK49"/>
      <c r="AL49"/>
      <c r="AM49"/>
      <c r="AN49"/>
      <c r="AO49"/>
      <c r="AP49"/>
      <c r="AQ49"/>
      <c r="AR49"/>
      <c r="AS49"/>
      <c r="AT49"/>
      <c r="AU49"/>
      <c r="AV49"/>
      <c r="AW49"/>
      <c r="AX49"/>
      <c r="AY49"/>
      <c r="AZ49"/>
      <c r="BA49"/>
      <c r="BB49"/>
      <c r="BC49"/>
      <c r="BD49"/>
      <c r="BE49"/>
      <c r="BF49"/>
      <c r="BG49"/>
      <c r="BH49"/>
      <c r="BI49"/>
      <c r="BJ49"/>
    </row>
    <row r="50" spans="1:62" ht="21" customHeight="1">
      <c r="A50" s="11"/>
      <c r="B50" s="136" t="s">
        <v>311</v>
      </c>
      <c r="C50" s="518">
        <v>100</v>
      </c>
      <c r="D50" s="519">
        <v>10</v>
      </c>
      <c r="E50" s="143">
        <f t="shared" si="12"/>
        <v>10</v>
      </c>
      <c r="F50" s="144">
        <f t="shared" si="14"/>
        <v>16</v>
      </c>
      <c r="G50" s="142"/>
      <c r="H50" s="491"/>
      <c r="I50" s="488" t="s">
        <v>149</v>
      </c>
      <c r="J50" s="485">
        <f>'EXTERNAL INCOMES'!C18</f>
        <v>1219474.4615550372</v>
      </c>
      <c r="K50" s="485">
        <f>'EXTERNAL INCOMES'!D18</f>
        <v>1317032.41847944</v>
      </c>
      <c r="L50" s="485">
        <f>'EXTERNAL INCOMES'!E18</f>
        <v>1329412.523213147</v>
      </c>
      <c r="M50" s="485">
        <f>'EXTERNAL INCOMES'!F18</f>
        <v>1315852.515476373</v>
      </c>
      <c r="N50" s="485">
        <f>'EXTERNAL INCOMES'!G18</f>
        <v>1266376.460894461</v>
      </c>
      <c r="O50"/>
      <c r="P50" s="639" t="s">
        <v>334</v>
      </c>
      <c r="Q50" s="128" t="s">
        <v>122</v>
      </c>
      <c r="R50" s="485">
        <f>C33*C10</f>
        <v>12289.062396545847</v>
      </c>
      <c r="S50" s="485">
        <f>R50*(1+Dashboard!$D$16)</f>
        <v>12903.51551637314</v>
      </c>
      <c r="T50" s="485">
        <f>S50*(1+Dashboard!$D$16)</f>
        <v>13548.691292191797</v>
      </c>
      <c r="U50" s="485">
        <f>T50*(1+Dashboard!$D$16)</f>
        <v>14226.125856801387</v>
      </c>
      <c r="V50" s="485">
        <f>U50*(1+Dashboard!$D$16)</f>
        <v>14937.432149641458</v>
      </c>
      <c r="W50" s="11"/>
      <c r="X50" s="639" t="s">
        <v>334</v>
      </c>
      <c r="Y50" s="128" t="s">
        <v>122</v>
      </c>
      <c r="Z50" s="485">
        <f>R50</f>
        <v>12289.062396545847</v>
      </c>
      <c r="AA50" s="485">
        <f t="shared" si="10"/>
        <v>12903.51551637314</v>
      </c>
      <c r="AB50" s="485">
        <f t="shared" si="1"/>
        <v>13548.691292191797</v>
      </c>
      <c r="AC50" s="485">
        <f t="shared" si="2"/>
        <v>14226.125856801387</v>
      </c>
      <c r="AD50" s="485">
        <f t="shared" si="3"/>
        <v>14937.432149641458</v>
      </c>
      <c r="AE50"/>
      <c r="AF50"/>
      <c r="AG50"/>
      <c r="AH50"/>
      <c r="AI50"/>
      <c r="AJ50"/>
      <c r="AK50"/>
      <c r="AL50"/>
      <c r="AM50"/>
      <c r="AN50"/>
      <c r="AO50"/>
      <c r="AP50"/>
      <c r="AQ50"/>
      <c r="AR50"/>
      <c r="AS50"/>
      <c r="AT50"/>
      <c r="AU50"/>
      <c r="AV50"/>
      <c r="AW50"/>
      <c r="AX50"/>
      <c r="AY50"/>
      <c r="AZ50"/>
      <c r="BA50"/>
      <c r="BB50"/>
      <c r="BC50"/>
      <c r="BD50"/>
      <c r="BE50"/>
      <c r="BF50"/>
      <c r="BG50"/>
      <c r="BH50"/>
      <c r="BI50"/>
      <c r="BJ50"/>
    </row>
    <row r="51" spans="1:62" ht="21" customHeight="1">
      <c r="A51" s="11"/>
      <c r="B51" s="136" t="s">
        <v>312</v>
      </c>
      <c r="C51" s="518">
        <v>100</v>
      </c>
      <c r="D51" s="519">
        <v>10</v>
      </c>
      <c r="E51" s="143">
        <f t="shared" si="12"/>
        <v>10</v>
      </c>
      <c r="F51" s="144">
        <f t="shared" si="14"/>
        <v>16</v>
      </c>
      <c r="G51" s="142"/>
      <c r="H51" s="384"/>
      <c r="I51" s="488" t="s">
        <v>150</v>
      </c>
      <c r="J51" s="485">
        <f>'EXTERNAL INCOMES'!C25</f>
        <v>-122287.73037843898</v>
      </c>
      <c r="K51" s="485">
        <f>'EXTERNAL INCOMES'!D25</f>
        <v>-142636.40871341119</v>
      </c>
      <c r="L51" s="485">
        <f>'EXTERNAL INCOMES'!E25</f>
        <v>-161607.05107229491</v>
      </c>
      <c r="M51" s="485">
        <f>'EXTERNAL INCOMES'!F25</f>
        <v>-176280.97130965936</v>
      </c>
      <c r="N51" s="485">
        <f>'EXTERNAL INCOMES'!G25</f>
        <v>-189092.19089958881</v>
      </c>
      <c r="O51"/>
      <c r="P51" s="639"/>
      <c r="Q51" s="128" t="s">
        <v>124</v>
      </c>
      <c r="R51" s="485">
        <v>0</v>
      </c>
      <c r="S51" s="485">
        <v>0</v>
      </c>
      <c r="T51" s="485">
        <v>0</v>
      </c>
      <c r="U51" s="485">
        <v>0</v>
      </c>
      <c r="V51" s="485">
        <v>0</v>
      </c>
      <c r="W51" s="11"/>
      <c r="X51" s="639"/>
      <c r="Y51" s="128" t="s">
        <v>124</v>
      </c>
      <c r="Z51" s="485">
        <f t="shared" ref="Z51:Z73" si="15">R51</f>
        <v>0</v>
      </c>
      <c r="AA51" s="485">
        <f t="shared" ref="AA51:AA73" si="16">S51</f>
        <v>0</v>
      </c>
      <c r="AB51" s="485">
        <f t="shared" ref="AB51:AB73" si="17">T51</f>
        <v>0</v>
      </c>
      <c r="AC51" s="485">
        <f t="shared" ref="AC51:AC73" si="18">U51</f>
        <v>0</v>
      </c>
      <c r="AD51" s="485">
        <f t="shared" ref="AD51:AD73" si="19">V51</f>
        <v>0</v>
      </c>
      <c r="AE51"/>
      <c r="AF51"/>
      <c r="AG51"/>
      <c r="AH51"/>
      <c r="AI51"/>
      <c r="AJ51"/>
      <c r="AK51"/>
      <c r="AL51"/>
      <c r="AM51"/>
      <c r="AN51"/>
      <c r="AO51"/>
      <c r="AP51"/>
      <c r="AQ51"/>
      <c r="AR51"/>
      <c r="AS51"/>
      <c r="AT51"/>
      <c r="AU51"/>
      <c r="AV51"/>
      <c r="AW51"/>
      <c r="AX51"/>
      <c r="AY51"/>
      <c r="AZ51"/>
      <c r="BA51"/>
      <c r="BB51"/>
      <c r="BC51"/>
      <c r="BD51"/>
      <c r="BE51"/>
      <c r="BF51"/>
      <c r="BG51"/>
      <c r="BH51"/>
      <c r="BI51"/>
      <c r="BJ51"/>
    </row>
    <row r="52" spans="1:62" ht="21" customHeight="1">
      <c r="A52" s="11"/>
      <c r="B52" s="136" t="s">
        <v>313</v>
      </c>
      <c r="C52" s="518">
        <v>100</v>
      </c>
      <c r="D52" s="519">
        <v>10</v>
      </c>
      <c r="E52" s="143">
        <f t="shared" si="12"/>
        <v>10</v>
      </c>
      <c r="F52" s="144">
        <f t="shared" si="14"/>
        <v>16</v>
      </c>
      <c r="G52" s="142"/>
      <c r="H52" s="384"/>
      <c r="I52" s="383" t="s">
        <v>151</v>
      </c>
      <c r="J52" s="489">
        <f>J17+J25+J33+J41+J49-J50-J51-J12-J13-J20-J21-J28-J29-J36-J37-J44-J45</f>
        <v>964210.82460577693</v>
      </c>
      <c r="K52" s="489">
        <f t="shared" ref="K52:N52" si="20">K17+K25+K33+K41+K49-K50-K51-K12-K13-K20-K21-K28-K29-K36-K37-K44-K45</f>
        <v>1028900.5160367404</v>
      </c>
      <c r="L52" s="489">
        <f t="shared" si="20"/>
        <v>1137172.8368617669</v>
      </c>
      <c r="M52" s="489">
        <f t="shared" si="20"/>
        <v>1251507.9922914701</v>
      </c>
      <c r="N52" s="489">
        <f t="shared" si="20"/>
        <v>1380862.5123971903</v>
      </c>
      <c r="O52"/>
      <c r="P52" s="639"/>
      <c r="Q52" s="128" t="s">
        <v>126</v>
      </c>
      <c r="R52" s="485">
        <f>E68*C10</f>
        <v>9063.1835174525622</v>
      </c>
      <c r="S52" s="485">
        <f>R52*(1+Dashboard!$D$16)</f>
        <v>9516.3426933251903</v>
      </c>
      <c r="T52" s="485">
        <f>S52*(1+Dashboard!$D$16)</f>
        <v>9992.1598279914506</v>
      </c>
      <c r="U52" s="485">
        <f>T52*(1+Dashboard!$D$16)</f>
        <v>10491.767819391023</v>
      </c>
      <c r="V52" s="485">
        <f>U52*(1+Dashboard!$D$16)</f>
        <v>11016.356210360575</v>
      </c>
      <c r="W52" s="11"/>
      <c r="X52" s="639"/>
      <c r="Y52" s="128" t="s">
        <v>126</v>
      </c>
      <c r="Z52" s="485">
        <f t="shared" si="15"/>
        <v>9063.1835174525622</v>
      </c>
      <c r="AA52" s="485">
        <f t="shared" si="16"/>
        <v>9516.3426933251903</v>
      </c>
      <c r="AB52" s="485">
        <f t="shared" si="17"/>
        <v>9992.1598279914506</v>
      </c>
      <c r="AC52" s="485">
        <f t="shared" si="18"/>
        <v>10491.767819391023</v>
      </c>
      <c r="AD52" s="485">
        <f t="shared" si="19"/>
        <v>11016.356210360575</v>
      </c>
      <c r="AE52"/>
      <c r="AF52"/>
      <c r="AG52"/>
      <c r="AH52"/>
      <c r="AI52"/>
      <c r="AJ52"/>
      <c r="AK52"/>
      <c r="AL52"/>
      <c r="AM52"/>
      <c r="AN52"/>
      <c r="AO52"/>
      <c r="AP52"/>
      <c r="AQ52"/>
      <c r="AR52"/>
      <c r="AS52"/>
      <c r="AT52"/>
      <c r="AU52"/>
      <c r="AV52"/>
      <c r="AW52"/>
      <c r="AX52"/>
      <c r="AY52"/>
      <c r="AZ52"/>
      <c r="BA52"/>
      <c r="BB52"/>
      <c r="BC52"/>
      <c r="BD52"/>
      <c r="BE52"/>
      <c r="BF52"/>
      <c r="BG52"/>
      <c r="BH52"/>
      <c r="BI52"/>
      <c r="BJ52"/>
    </row>
    <row r="53" spans="1:62" ht="21" customHeight="1">
      <c r="A53" s="11"/>
      <c r="B53" s="136" t="s">
        <v>314</v>
      </c>
      <c r="C53" s="520">
        <v>100</v>
      </c>
      <c r="D53" s="519">
        <v>10</v>
      </c>
      <c r="E53" s="143">
        <f t="shared" si="12"/>
        <v>10</v>
      </c>
      <c r="F53" s="144">
        <f t="shared" si="14"/>
        <v>16</v>
      </c>
      <c r="G53" s="142"/>
      <c r="H53" s="384"/>
      <c r="I53" s="490" t="s">
        <v>152</v>
      </c>
      <c r="J53" s="489">
        <f>I$98+J12+J13+J20+J21+J28+J29+J36+J37+J44+J45</f>
        <v>509883.55975772633</v>
      </c>
      <c r="K53" s="489">
        <f>J$98+K12+K13+K20+K21+K28+K29+K36+K37+K44+K45</f>
        <v>535377.73774561251</v>
      </c>
      <c r="L53" s="489">
        <f t="shared" ref="L53:N53" si="21">K$98+L12+L13+L20+L21+L28+L29+L36+L37+L44+L45</f>
        <v>562146.62463289325</v>
      </c>
      <c r="M53" s="489">
        <f t="shared" si="21"/>
        <v>590253.95586453809</v>
      </c>
      <c r="N53" s="489">
        <f t="shared" si="21"/>
        <v>619766.65365776489</v>
      </c>
      <c r="O53"/>
      <c r="P53" s="639"/>
      <c r="Q53" s="128" t="s">
        <v>128</v>
      </c>
      <c r="R53" s="485">
        <f>F54*D68</f>
        <v>1740.131235350892</v>
      </c>
      <c r="S53" s="485">
        <f>R53*(1+Dashboard!$D$16)</f>
        <v>1827.1377971184368</v>
      </c>
      <c r="T53" s="485">
        <f>S53*(1+Dashboard!$D$16)</f>
        <v>1918.4946869743587</v>
      </c>
      <c r="U53" s="485">
        <f>T53*(1+Dashboard!$D$16)</f>
        <v>2014.4194213230767</v>
      </c>
      <c r="V53" s="485">
        <f>U53*(1+Dashboard!$D$16)</f>
        <v>2115.1403923892308</v>
      </c>
      <c r="W53" s="11"/>
      <c r="X53" s="639"/>
      <c r="Y53" s="128" t="s">
        <v>128</v>
      </c>
      <c r="Z53" s="485">
        <f t="shared" si="15"/>
        <v>1740.131235350892</v>
      </c>
      <c r="AA53" s="485">
        <f t="shared" si="16"/>
        <v>1827.1377971184368</v>
      </c>
      <c r="AB53" s="485">
        <f t="shared" si="17"/>
        <v>1918.4946869743587</v>
      </c>
      <c r="AC53" s="485">
        <f t="shared" si="18"/>
        <v>2014.4194213230767</v>
      </c>
      <c r="AD53" s="485">
        <f t="shared" si="19"/>
        <v>2115.1403923892308</v>
      </c>
      <c r="AE53"/>
      <c r="AF53"/>
      <c r="AG53"/>
      <c r="AH53"/>
      <c r="AI53"/>
      <c r="AJ53"/>
      <c r="AK53"/>
      <c r="AL53"/>
      <c r="AM53"/>
      <c r="AN53"/>
      <c r="AO53"/>
      <c r="AP53"/>
      <c r="AQ53"/>
      <c r="AR53"/>
      <c r="AS53"/>
      <c r="AT53"/>
      <c r="AU53"/>
      <c r="AV53"/>
      <c r="AW53"/>
      <c r="AX53"/>
      <c r="AY53"/>
      <c r="AZ53"/>
      <c r="BA53"/>
      <c r="BB53"/>
      <c r="BC53"/>
      <c r="BD53"/>
      <c r="BE53"/>
      <c r="BF53"/>
      <c r="BG53"/>
      <c r="BH53"/>
      <c r="BI53"/>
      <c r="BJ53"/>
    </row>
    <row r="54" spans="1:62" ht="21" customHeight="1">
      <c r="A54" s="11"/>
      <c r="B54" s="136" t="s">
        <v>315</v>
      </c>
      <c r="C54" s="521">
        <v>100</v>
      </c>
      <c r="D54" s="522">
        <v>10</v>
      </c>
      <c r="E54" s="143">
        <f t="shared" si="12"/>
        <v>10</v>
      </c>
      <c r="F54" s="144">
        <f t="shared" si="14"/>
        <v>16</v>
      </c>
      <c r="G54" s="142"/>
      <c r="H54" s="384"/>
      <c r="I54" s="145" t="s">
        <v>20</v>
      </c>
      <c r="J54" s="146">
        <f>SUM(J52:J53)</f>
        <v>1474094.3843635032</v>
      </c>
      <c r="K54" s="146">
        <f t="shared" ref="K54:N54" si="22">SUM(K52:K53)</f>
        <v>1564278.2537823529</v>
      </c>
      <c r="L54" s="146">
        <f t="shared" si="22"/>
        <v>1699319.46149466</v>
      </c>
      <c r="M54" s="146">
        <f t="shared" si="22"/>
        <v>1841761.948156008</v>
      </c>
      <c r="N54" s="146">
        <f t="shared" si="22"/>
        <v>2000629.1660549552</v>
      </c>
      <c r="O54" s="56"/>
      <c r="P54" s="639"/>
      <c r="Q54" s="128" t="s">
        <v>129</v>
      </c>
      <c r="R54" s="485">
        <f>'INTERNAL SHIPMENT'!I69</f>
        <v>63985.601966243514</v>
      </c>
      <c r="S54" s="485">
        <f>'INTERNAL SHIPMENT'!O69</f>
        <v>70396.790858462642</v>
      </c>
      <c r="T54" s="485">
        <f>'INTERNAL SHIPMENT'!U69</f>
        <v>73214.920442819101</v>
      </c>
      <c r="U54" s="485">
        <f>'INTERNAL SHIPMENT'!AA69</f>
        <v>74464.595023109665</v>
      </c>
      <c r="V54" s="485">
        <f>'INTERNAL SHIPMENT'!AG69</f>
        <v>73846.167969573668</v>
      </c>
      <c r="W54" s="11"/>
      <c r="X54" s="639"/>
      <c r="Y54" s="128" t="s">
        <v>129</v>
      </c>
      <c r="Z54" s="485">
        <f t="shared" si="15"/>
        <v>63985.601966243514</v>
      </c>
      <c r="AA54" s="485">
        <f t="shared" si="16"/>
        <v>70396.790858462642</v>
      </c>
      <c r="AB54" s="485">
        <f t="shared" si="17"/>
        <v>73214.920442819101</v>
      </c>
      <c r="AC54" s="485">
        <f t="shared" si="18"/>
        <v>74464.595023109665</v>
      </c>
      <c r="AD54" s="485">
        <f t="shared" si="19"/>
        <v>73846.167969573668</v>
      </c>
      <c r="AE54"/>
      <c r="AF54"/>
      <c r="AG54"/>
      <c r="AH54"/>
      <c r="AI54"/>
      <c r="AJ54"/>
      <c r="AK54"/>
      <c r="AL54"/>
      <c r="AM54"/>
      <c r="AN54"/>
      <c r="AO54"/>
      <c r="AP54"/>
      <c r="AQ54"/>
      <c r="AR54"/>
      <c r="AS54"/>
      <c r="AT54"/>
      <c r="AU54"/>
      <c r="AV54"/>
      <c r="AW54"/>
      <c r="AX54"/>
      <c r="AY54"/>
      <c r="AZ54"/>
      <c r="BA54"/>
      <c r="BB54"/>
      <c r="BC54"/>
      <c r="BD54"/>
      <c r="BE54"/>
      <c r="BF54"/>
      <c r="BG54"/>
      <c r="BH54"/>
      <c r="BI54"/>
      <c r="BJ54"/>
    </row>
    <row r="55" spans="1:62" ht="21" customHeight="1">
      <c r="A55" s="11"/>
      <c r="B55"/>
      <c r="C55"/>
      <c r="D55"/>
      <c r="E55"/>
      <c r="F55" s="142"/>
      <c r="G55" s="142"/>
      <c r="H55"/>
      <c r="I55"/>
      <c r="J55" s="60"/>
      <c r="K55" s="60"/>
      <c r="L55" s="60"/>
      <c r="M55" s="60"/>
      <c r="N55" s="60"/>
      <c r="O55" s="56"/>
      <c r="P55" s="639"/>
      <c r="Q55" s="128" t="s">
        <v>130</v>
      </c>
      <c r="R55" s="524">
        <f>R47</f>
        <v>0</v>
      </c>
      <c r="S55" s="485">
        <v>0</v>
      </c>
      <c r="T55" s="485">
        <v>0</v>
      </c>
      <c r="U55" s="485">
        <v>0</v>
      </c>
      <c r="V55" s="485">
        <v>0</v>
      </c>
      <c r="W55" s="11"/>
      <c r="X55" s="639"/>
      <c r="Y55" s="128" t="s">
        <v>130</v>
      </c>
      <c r="Z55" s="524">
        <f t="shared" si="15"/>
        <v>0</v>
      </c>
      <c r="AA55" s="485">
        <f t="shared" si="16"/>
        <v>0</v>
      </c>
      <c r="AB55" s="485">
        <f t="shared" si="17"/>
        <v>0</v>
      </c>
      <c r="AC55" s="485">
        <f t="shared" si="18"/>
        <v>0</v>
      </c>
      <c r="AD55" s="485">
        <f t="shared" si="19"/>
        <v>0</v>
      </c>
      <c r="AE55"/>
      <c r="AF55"/>
      <c r="AG55"/>
      <c r="AH55"/>
      <c r="AI55"/>
      <c r="AJ55"/>
      <c r="AK55"/>
      <c r="AL55"/>
      <c r="AM55"/>
      <c r="AN55"/>
      <c r="AO55"/>
      <c r="AP55"/>
      <c r="AQ55"/>
      <c r="AR55"/>
      <c r="AS55"/>
      <c r="AT55"/>
      <c r="AU55"/>
      <c r="AV55"/>
      <c r="AW55"/>
      <c r="AX55"/>
      <c r="AY55"/>
      <c r="AZ55"/>
      <c r="BA55"/>
      <c r="BB55"/>
      <c r="BC55"/>
      <c r="BD55"/>
      <c r="BE55"/>
      <c r="BF55"/>
      <c r="BG55"/>
      <c r="BH55"/>
      <c r="BI55"/>
      <c r="BJ55"/>
    </row>
    <row r="56" spans="1:62" ht="21" customHeight="1">
      <c r="A56" s="11"/>
      <c r="B56"/>
      <c r="C56"/>
      <c r="D56" s="147" t="s">
        <v>153</v>
      </c>
      <c r="E56" s="147" t="s">
        <v>154</v>
      </c>
      <c r="F56" s="147" t="s">
        <v>155</v>
      </c>
      <c r="G56" s="142"/>
      <c r="H56"/>
      <c r="I56"/>
      <c r="J56" s="646" t="s">
        <v>156</v>
      </c>
      <c r="K56" s="647"/>
      <c r="L56" s="647"/>
      <c r="M56" s="647"/>
      <c r="N56" s="648"/>
      <c r="O56" s="56"/>
      <c r="P56" s="639"/>
      <c r="Q56" s="128" t="s">
        <v>131</v>
      </c>
      <c r="R56" s="524">
        <f>R48</f>
        <v>0</v>
      </c>
      <c r="S56" s="485">
        <v>0</v>
      </c>
      <c r="T56" s="485">
        <v>0</v>
      </c>
      <c r="U56" s="485">
        <v>0</v>
      </c>
      <c r="V56" s="485">
        <v>0</v>
      </c>
      <c r="W56" s="11"/>
      <c r="X56" s="639"/>
      <c r="Y56" s="128" t="s">
        <v>131</v>
      </c>
      <c r="Z56" s="524">
        <f t="shared" si="15"/>
        <v>0</v>
      </c>
      <c r="AA56" s="485">
        <f t="shared" si="16"/>
        <v>0</v>
      </c>
      <c r="AB56" s="485">
        <f t="shared" si="17"/>
        <v>0</v>
      </c>
      <c r="AC56" s="485">
        <f t="shared" si="18"/>
        <v>0</v>
      </c>
      <c r="AD56" s="485">
        <f t="shared" si="19"/>
        <v>0</v>
      </c>
      <c r="AE56"/>
      <c r="AF56"/>
      <c r="AG56"/>
      <c r="AH56"/>
      <c r="AI56"/>
      <c r="AJ56"/>
      <c r="AK56"/>
      <c r="AL56"/>
      <c r="AM56"/>
      <c r="AN56"/>
      <c r="AO56"/>
      <c r="AP56"/>
      <c r="AQ56"/>
      <c r="AR56"/>
      <c r="AS56"/>
      <c r="AT56"/>
      <c r="AU56"/>
      <c r="AV56"/>
      <c r="AW56"/>
      <c r="AX56"/>
      <c r="AY56"/>
      <c r="AZ56"/>
      <c r="BA56"/>
      <c r="BB56"/>
      <c r="BC56"/>
      <c r="BD56"/>
      <c r="BE56"/>
      <c r="BF56"/>
      <c r="BG56"/>
      <c r="BH56"/>
      <c r="BI56"/>
      <c r="BJ56"/>
    </row>
    <row r="57" spans="1:62" ht="21" customHeight="1">
      <c r="A57" s="11"/>
      <c r="B57" s="603" t="s">
        <v>157</v>
      </c>
      <c r="C57" s="603"/>
      <c r="D57" s="521">
        <v>7</v>
      </c>
      <c r="E57" s="148">
        <f>(D57*1000)/(SUM('INITIAL DATA'!M9:P9)/4)</f>
        <v>67796.610169491527</v>
      </c>
      <c r="F57" s="148">
        <f>D26/E57</f>
        <v>3545.2805338426197</v>
      </c>
      <c r="G57" s="142"/>
      <c r="H57"/>
      <c r="I57" s="138" t="s">
        <v>9</v>
      </c>
      <c r="J57" s="484" t="s">
        <v>11</v>
      </c>
      <c r="K57" s="484" t="s">
        <v>12</v>
      </c>
      <c r="L57" s="484" t="s">
        <v>13</v>
      </c>
      <c r="M57" s="484" t="s">
        <v>14</v>
      </c>
      <c r="N57" s="484" t="s">
        <v>15</v>
      </c>
      <c r="O57" s="56"/>
      <c r="P57" s="639"/>
      <c r="Q57" s="360" t="s">
        <v>20</v>
      </c>
      <c r="R57" s="486">
        <f>SUM(R50:R56)</f>
        <v>87077.979115592811</v>
      </c>
      <c r="S57" s="486">
        <f t="shared" ref="S57:V57" si="23">SUM(S50:S56)</f>
        <v>94643.786865279413</v>
      </c>
      <c r="T57" s="486">
        <f t="shared" si="23"/>
        <v>98674.266249976703</v>
      </c>
      <c r="U57" s="486">
        <f t="shared" si="23"/>
        <v>101196.90812062516</v>
      </c>
      <c r="V57" s="486">
        <f t="shared" si="23"/>
        <v>101915.09672196493</v>
      </c>
      <c r="W57" s="11"/>
      <c r="X57" s="639"/>
      <c r="Y57" s="360" t="s">
        <v>20</v>
      </c>
      <c r="Z57" s="486">
        <f t="shared" si="15"/>
        <v>87077.979115592811</v>
      </c>
      <c r="AA57" s="486">
        <f t="shared" si="16"/>
        <v>94643.786865279413</v>
      </c>
      <c r="AB57" s="486">
        <f t="shared" si="17"/>
        <v>98674.266249976703</v>
      </c>
      <c r="AC57" s="486">
        <f t="shared" si="18"/>
        <v>101196.90812062516</v>
      </c>
      <c r="AD57" s="486">
        <f t="shared" si="19"/>
        <v>101915.09672196493</v>
      </c>
      <c r="AE57"/>
      <c r="AF57"/>
      <c r="AG57"/>
      <c r="AH57"/>
      <c r="AI57"/>
      <c r="AJ57"/>
      <c r="AK57"/>
      <c r="AL57"/>
      <c r="AM57"/>
      <c r="AN57"/>
      <c r="AO57"/>
      <c r="AP57"/>
      <c r="AQ57"/>
      <c r="AR57"/>
      <c r="AS57"/>
      <c r="AT57"/>
      <c r="AU57"/>
      <c r="AV57"/>
      <c r="AW57"/>
      <c r="AX57"/>
      <c r="AY57"/>
      <c r="AZ57"/>
      <c r="BA57"/>
      <c r="BB57"/>
      <c r="BC57"/>
      <c r="BD57"/>
      <c r="BE57"/>
      <c r="BF57"/>
      <c r="BG57"/>
      <c r="BH57"/>
      <c r="BI57"/>
      <c r="BJ57"/>
    </row>
    <row r="58" spans="1:62" ht="21" customHeight="1">
      <c r="A58" s="11"/>
      <c r="B58" s="18"/>
      <c r="C58" s="18"/>
      <c r="D58" s="11"/>
      <c r="E58" s="11"/>
      <c r="F58" s="22"/>
      <c r="G58" s="22"/>
      <c r="H58"/>
      <c r="I58" s="149" t="s">
        <v>19</v>
      </c>
      <c r="J58" s="493">
        <v>0</v>
      </c>
      <c r="K58" s="493">
        <v>0</v>
      </c>
      <c r="L58" s="493">
        <v>0</v>
      </c>
      <c r="M58" s="493">
        <v>0</v>
      </c>
      <c r="N58" s="493">
        <v>0</v>
      </c>
      <c r="O58" s="56"/>
      <c r="P58" s="640" t="s">
        <v>335</v>
      </c>
      <c r="Q58" s="128" t="s">
        <v>122</v>
      </c>
      <c r="R58" s="485">
        <f>C34*C10</f>
        <v>17001.57245255003</v>
      </c>
      <c r="S58" s="485">
        <f>R58*(1+Dashboard!$D$16)</f>
        <v>17851.651075177531</v>
      </c>
      <c r="T58" s="485">
        <f>S58*(1+Dashboard!$D$16)</f>
        <v>18744.23362893641</v>
      </c>
      <c r="U58" s="485">
        <f>T58*(1+Dashboard!$D$16)</f>
        <v>19681.445310383231</v>
      </c>
      <c r="V58" s="485">
        <f>U58*(1+Dashboard!$D$16)</f>
        <v>20665.517575902395</v>
      </c>
      <c r="W58" s="11"/>
      <c r="X58" s="640" t="s">
        <v>335</v>
      </c>
      <c r="Y58" s="128" t="s">
        <v>122</v>
      </c>
      <c r="Z58" s="485">
        <f t="shared" si="15"/>
        <v>17001.57245255003</v>
      </c>
      <c r="AA58" s="485">
        <f t="shared" si="16"/>
        <v>17851.651075177531</v>
      </c>
      <c r="AB58" s="485">
        <f t="shared" si="17"/>
        <v>18744.23362893641</v>
      </c>
      <c r="AC58" s="485">
        <f t="shared" si="18"/>
        <v>19681.445310383231</v>
      </c>
      <c r="AD58" s="485">
        <f t="shared" si="19"/>
        <v>20665.517575902395</v>
      </c>
      <c r="AE58"/>
      <c r="AF58"/>
      <c r="AG58"/>
      <c r="AH58"/>
      <c r="AI58"/>
      <c r="AJ58"/>
      <c r="AK58"/>
      <c r="AL58"/>
      <c r="AM58"/>
      <c r="AN58"/>
      <c r="AO58"/>
      <c r="AP58"/>
      <c r="AQ58"/>
      <c r="AR58"/>
      <c r="AS58"/>
      <c r="AT58"/>
      <c r="AU58"/>
      <c r="AV58"/>
      <c r="AW58"/>
      <c r="AX58"/>
      <c r="AY58"/>
      <c r="AZ58"/>
      <c r="BA58"/>
      <c r="BB58"/>
      <c r="BC58"/>
      <c r="BD58"/>
      <c r="BE58"/>
      <c r="BF58"/>
      <c r="BG58"/>
      <c r="BH58"/>
      <c r="BI58"/>
      <c r="BJ58"/>
    </row>
    <row r="59" spans="1:62" ht="21" customHeight="1">
      <c r="A59" s="11"/>
      <c r="B59" s="654" t="s">
        <v>158</v>
      </c>
      <c r="C59" s="654"/>
      <c r="D59" s="151" t="s">
        <v>159</v>
      </c>
      <c r="E59" s="666" t="s">
        <v>160</v>
      </c>
      <c r="F59" s="667"/>
      <c r="G59" s="22"/>
      <c r="H59"/>
      <c r="I59" s="152" t="s">
        <v>17</v>
      </c>
      <c r="J59" s="366">
        <f>J52</f>
        <v>964210.82460577693</v>
      </c>
      <c r="K59" s="366">
        <f t="shared" ref="K59:N59" si="24">K52</f>
        <v>1028900.5160367404</v>
      </c>
      <c r="L59" s="366">
        <f t="shared" si="24"/>
        <v>1137172.8368617669</v>
      </c>
      <c r="M59" s="366">
        <f t="shared" si="24"/>
        <v>1251507.9922914701</v>
      </c>
      <c r="N59" s="366">
        <f t="shared" si="24"/>
        <v>1380862.5123971903</v>
      </c>
      <c r="O59"/>
      <c r="P59" s="640"/>
      <c r="Q59" s="128" t="s">
        <v>124</v>
      </c>
      <c r="R59" s="485">
        <v>0</v>
      </c>
      <c r="S59" s="485">
        <v>0</v>
      </c>
      <c r="T59" s="485">
        <v>0</v>
      </c>
      <c r="U59" s="485">
        <v>0</v>
      </c>
      <c r="V59" s="485">
        <v>0</v>
      </c>
      <c r="W59" s="11"/>
      <c r="X59" s="640"/>
      <c r="Y59" s="128" t="s">
        <v>124</v>
      </c>
      <c r="Z59" s="485">
        <f t="shared" si="15"/>
        <v>0</v>
      </c>
      <c r="AA59" s="485">
        <f t="shared" si="16"/>
        <v>0</v>
      </c>
      <c r="AB59" s="485">
        <f t="shared" si="17"/>
        <v>0</v>
      </c>
      <c r="AC59" s="485">
        <f t="shared" si="18"/>
        <v>0</v>
      </c>
      <c r="AD59" s="485">
        <f t="shared" si="19"/>
        <v>0</v>
      </c>
      <c r="AE59"/>
      <c r="AF59"/>
      <c r="AG59"/>
      <c r="AH59"/>
      <c r="AI59"/>
      <c r="AJ59"/>
      <c r="AK59"/>
      <c r="AL59"/>
      <c r="AM59"/>
      <c r="AN59"/>
      <c r="AO59"/>
      <c r="AP59"/>
      <c r="AQ59"/>
      <c r="AR59"/>
      <c r="AS59"/>
      <c r="AT59"/>
      <c r="AU59"/>
      <c r="AV59"/>
      <c r="AW59"/>
      <c r="AX59"/>
      <c r="AY59"/>
      <c r="AZ59"/>
      <c r="BA59"/>
      <c r="BB59"/>
      <c r="BC59"/>
      <c r="BD59"/>
      <c r="BE59"/>
      <c r="BF59"/>
      <c r="BG59"/>
      <c r="BH59"/>
      <c r="BI59"/>
      <c r="BJ59"/>
    </row>
    <row r="60" spans="1:62" ht="21" customHeight="1">
      <c r="A60" s="11"/>
      <c r="B60" s="153" t="s">
        <v>298</v>
      </c>
      <c r="C60" s="154">
        <f>$D$26*'INITIAL DATA'!K80</f>
        <v>10200943.471530018</v>
      </c>
      <c r="D60" s="154">
        <f>C60/$E$57</f>
        <v>150.46391620506776</v>
      </c>
      <c r="E60" s="655">
        <f>D60/240</f>
        <v>0.62693298418778232</v>
      </c>
      <c r="F60" s="655"/>
      <c r="G60" s="56"/>
      <c r="H60"/>
      <c r="I60"/>
      <c r="J60" s="60"/>
      <c r="K60" s="60"/>
      <c r="L60" s="60"/>
      <c r="M60" s="60"/>
      <c r="N60" s="60"/>
      <c r="O60"/>
      <c r="P60" s="640"/>
      <c r="Q60" s="128" t="s">
        <v>126</v>
      </c>
      <c r="R60" s="485">
        <f>E60*C10</f>
        <v>12538.659683755646</v>
      </c>
      <c r="S60" s="485">
        <f>R60*(1+Dashboard!$D$16)</f>
        <v>13165.592667943429</v>
      </c>
      <c r="T60" s="485">
        <f>S60*(1+Dashboard!$D$16)</f>
        <v>13823.872301340602</v>
      </c>
      <c r="U60" s="485">
        <f>T60*(1+Dashboard!$D$16)</f>
        <v>14515.065916407631</v>
      </c>
      <c r="V60" s="485">
        <f>U60*(1+Dashboard!$D$16)</f>
        <v>15240.819212228014</v>
      </c>
      <c r="W60" s="11"/>
      <c r="X60" s="640"/>
      <c r="Y60" s="128" t="s">
        <v>126</v>
      </c>
      <c r="Z60" s="485">
        <f t="shared" si="15"/>
        <v>12538.659683755646</v>
      </c>
      <c r="AA60" s="485">
        <f t="shared" si="16"/>
        <v>13165.592667943429</v>
      </c>
      <c r="AB60" s="485">
        <f t="shared" si="17"/>
        <v>13823.872301340602</v>
      </c>
      <c r="AC60" s="485">
        <f t="shared" si="18"/>
        <v>14515.065916407631</v>
      </c>
      <c r="AD60" s="485">
        <f t="shared" si="19"/>
        <v>15240.819212228014</v>
      </c>
      <c r="AE60"/>
      <c r="AF60"/>
      <c r="AG60"/>
      <c r="AH60"/>
      <c r="AI60"/>
      <c r="AJ60"/>
      <c r="AK60"/>
      <c r="AL60"/>
      <c r="AM60"/>
      <c r="AN60"/>
      <c r="AO60"/>
      <c r="AP60"/>
      <c r="AQ60"/>
      <c r="AR60"/>
      <c r="AS60"/>
      <c r="AT60"/>
      <c r="AU60"/>
      <c r="AV60"/>
      <c r="AW60"/>
      <c r="AX60"/>
      <c r="AY60"/>
      <c r="AZ60"/>
      <c r="BA60"/>
      <c r="BB60"/>
      <c r="BC60"/>
      <c r="BD60"/>
      <c r="BE60"/>
      <c r="BF60"/>
      <c r="BG60"/>
      <c r="BH60"/>
      <c r="BI60"/>
      <c r="BJ60"/>
    </row>
    <row r="61" spans="1:62" ht="21" customHeight="1">
      <c r="A61" s="11"/>
      <c r="B61" s="153" t="s">
        <v>296</v>
      </c>
      <c r="C61" s="154">
        <f>$D$26*'INITIAL DATA'!K81</f>
        <v>31386416.39208895</v>
      </c>
      <c r="D61" s="154">
        <f t="shared" ref="D61:D68" si="25">C61/$E$57</f>
        <v>462.94964178331202</v>
      </c>
      <c r="E61" s="655">
        <f t="shared" ref="E61:E68" si="26">D61/240</f>
        <v>1.9289568407638</v>
      </c>
      <c r="F61" s="655"/>
      <c r="G61" s="56"/>
      <c r="H61"/>
      <c r="I61"/>
      <c r="J61" s="665" t="s">
        <v>161</v>
      </c>
      <c r="K61" s="665"/>
      <c r="L61" s="665"/>
      <c r="M61" s="665"/>
      <c r="N61" s="665"/>
      <c r="O61"/>
      <c r="P61" s="640"/>
      <c r="Q61" s="128" t="s">
        <v>128</v>
      </c>
      <c r="R61" s="485">
        <f>D60*F50</f>
        <v>2407.4226592810842</v>
      </c>
      <c r="S61" s="485">
        <f>R61*(1+Dashboard!$D$16)</f>
        <v>2527.7937922451383</v>
      </c>
      <c r="T61" s="485">
        <f>S61*(1+Dashboard!$D$16)</f>
        <v>2654.1834818573952</v>
      </c>
      <c r="U61" s="485">
        <f>T61*(1+Dashboard!$D$16)</f>
        <v>2786.8926559502652</v>
      </c>
      <c r="V61" s="485">
        <f>U61*(1+Dashboard!$D$16)</f>
        <v>2926.2372887477786</v>
      </c>
      <c r="W61" s="11"/>
      <c r="X61" s="640"/>
      <c r="Y61" s="128" t="s">
        <v>128</v>
      </c>
      <c r="Z61" s="485">
        <f t="shared" si="15"/>
        <v>2407.4226592810842</v>
      </c>
      <c r="AA61" s="485">
        <f t="shared" si="16"/>
        <v>2527.7937922451383</v>
      </c>
      <c r="AB61" s="485">
        <f t="shared" si="17"/>
        <v>2654.1834818573952</v>
      </c>
      <c r="AC61" s="485">
        <f t="shared" si="18"/>
        <v>2786.8926559502652</v>
      </c>
      <c r="AD61" s="485">
        <f t="shared" si="19"/>
        <v>2926.2372887477786</v>
      </c>
      <c r="AE61"/>
      <c r="AF61"/>
      <c r="AG61"/>
      <c r="AH61"/>
      <c r="AI61"/>
      <c r="AJ61"/>
      <c r="AK61"/>
      <c r="AL61"/>
      <c r="AM61"/>
      <c r="AN61"/>
      <c r="AO61"/>
      <c r="AP61"/>
      <c r="AQ61"/>
      <c r="AR61"/>
      <c r="AS61"/>
      <c r="AT61"/>
      <c r="AU61"/>
      <c r="AV61"/>
      <c r="AW61"/>
      <c r="AX61"/>
      <c r="AY61"/>
      <c r="AZ61"/>
      <c r="BA61"/>
      <c r="BB61"/>
      <c r="BC61"/>
      <c r="BD61"/>
      <c r="BE61"/>
      <c r="BF61"/>
      <c r="BG61"/>
      <c r="BH61"/>
      <c r="BI61"/>
      <c r="BJ61"/>
    </row>
    <row r="62" spans="1:62" ht="21" customHeight="1">
      <c r="A62" s="11"/>
      <c r="B62" s="153" t="s">
        <v>299</v>
      </c>
      <c r="C62" s="154">
        <f>$D$26*'INITIAL DATA'!K82</f>
        <v>10127648.864791177</v>
      </c>
      <c r="D62" s="154">
        <f t="shared" si="25"/>
        <v>149.38282075566985</v>
      </c>
      <c r="E62" s="655">
        <f t="shared" si="26"/>
        <v>0.62242841981529107</v>
      </c>
      <c r="F62" s="655"/>
      <c r="G62" s="56"/>
      <c r="H62"/>
      <c r="I62"/>
      <c r="J62" s="484" t="s">
        <v>11</v>
      </c>
      <c r="K62" s="484" t="s">
        <v>12</v>
      </c>
      <c r="L62" s="484" t="s">
        <v>13</v>
      </c>
      <c r="M62" s="484" t="s">
        <v>14</v>
      </c>
      <c r="N62" s="484" t="s">
        <v>15</v>
      </c>
      <c r="O62"/>
      <c r="P62" s="640"/>
      <c r="Q62" s="128" t="s">
        <v>129</v>
      </c>
      <c r="R62" s="485">
        <f>'INTERNAL SHIPMENT'!I72</f>
        <v>88522.282062371669</v>
      </c>
      <c r="S62" s="485">
        <f>'INTERNAL SHIPMENT'!O72</f>
        <v>97391.981714046065</v>
      </c>
      <c r="T62" s="485">
        <f>'INTERNAL SHIPMENT'!U72</f>
        <v>101290.7847930001</v>
      </c>
      <c r="U62" s="485">
        <f>'INTERNAL SHIPMENT'!AA72</f>
        <v>103019.67445384939</v>
      </c>
      <c r="V62" s="485">
        <f>'INTERNAL SHIPMENT'!AG72</f>
        <v>102164.09800561971</v>
      </c>
      <c r="W62" s="11"/>
      <c r="X62" s="640"/>
      <c r="Y62" s="128" t="s">
        <v>129</v>
      </c>
      <c r="Z62" s="485">
        <f t="shared" si="15"/>
        <v>88522.282062371669</v>
      </c>
      <c r="AA62" s="485">
        <f t="shared" si="16"/>
        <v>97391.981714046065</v>
      </c>
      <c r="AB62" s="485">
        <f t="shared" si="17"/>
        <v>101290.7847930001</v>
      </c>
      <c r="AC62" s="485">
        <f t="shared" si="18"/>
        <v>103019.67445384939</v>
      </c>
      <c r="AD62" s="485">
        <f t="shared" si="19"/>
        <v>102164.09800561971</v>
      </c>
      <c r="AE62"/>
      <c r="AF62"/>
      <c r="AG62"/>
      <c r="AH62"/>
      <c r="AI62"/>
      <c r="AJ62"/>
      <c r="AK62"/>
      <c r="AL62"/>
      <c r="AM62"/>
      <c r="AN62"/>
      <c r="AO62"/>
      <c r="AP62"/>
      <c r="AQ62"/>
      <c r="AR62"/>
      <c r="AS62"/>
      <c r="AT62"/>
      <c r="AU62"/>
      <c r="AV62"/>
      <c r="AW62"/>
      <c r="AX62"/>
      <c r="AY62"/>
      <c r="AZ62"/>
      <c r="BA62"/>
      <c r="BB62"/>
      <c r="BC62"/>
      <c r="BD62"/>
      <c r="BE62"/>
      <c r="BF62"/>
      <c r="BG62"/>
      <c r="BH62"/>
      <c r="BI62"/>
      <c r="BJ62"/>
    </row>
    <row r="63" spans="1:62" ht="21" customHeight="1">
      <c r="A63" s="11"/>
      <c r="B63" s="153" t="s">
        <v>300</v>
      </c>
      <c r="C63" s="154">
        <f>$D$26*'INITIAL DATA'!K83</f>
        <v>10103328.381646017</v>
      </c>
      <c r="D63" s="154">
        <f t="shared" si="25"/>
        <v>149.02409362927875</v>
      </c>
      <c r="E63" s="655">
        <f t="shared" si="26"/>
        <v>0.62093372345532816</v>
      </c>
      <c r="F63" s="655"/>
      <c r="G63" s="56"/>
      <c r="H63"/>
      <c r="I63" s="139">
        <v>1</v>
      </c>
      <c r="J63" s="492">
        <f>J53</f>
        <v>509883.55975772633</v>
      </c>
      <c r="K63" s="492">
        <f t="shared" ref="K63:N63" si="27">K53</f>
        <v>535377.73774561251</v>
      </c>
      <c r="L63" s="492">
        <f t="shared" si="27"/>
        <v>562146.62463289325</v>
      </c>
      <c r="M63" s="492">
        <f t="shared" si="27"/>
        <v>590253.95586453809</v>
      </c>
      <c r="N63" s="492">
        <f t="shared" si="27"/>
        <v>619766.65365776489</v>
      </c>
      <c r="O63"/>
      <c r="P63" s="640"/>
      <c r="Q63" s="128" t="s">
        <v>130</v>
      </c>
      <c r="R63" s="524">
        <v>0</v>
      </c>
      <c r="S63" s="485">
        <v>0</v>
      </c>
      <c r="T63" s="485">
        <v>0</v>
      </c>
      <c r="U63" s="485">
        <v>0</v>
      </c>
      <c r="V63" s="485">
        <v>0</v>
      </c>
      <c r="W63" s="11"/>
      <c r="X63" s="640"/>
      <c r="Y63" s="128" t="s">
        <v>130</v>
      </c>
      <c r="Z63" s="524">
        <f t="shared" si="15"/>
        <v>0</v>
      </c>
      <c r="AA63" s="485">
        <f t="shared" si="16"/>
        <v>0</v>
      </c>
      <c r="AB63" s="485">
        <f t="shared" si="17"/>
        <v>0</v>
      </c>
      <c r="AC63" s="485">
        <f t="shared" si="18"/>
        <v>0</v>
      </c>
      <c r="AD63" s="485">
        <f t="shared" si="19"/>
        <v>0</v>
      </c>
      <c r="AE63"/>
      <c r="AF63"/>
      <c r="AG63"/>
      <c r="AH63"/>
      <c r="AI63"/>
      <c r="AJ63"/>
      <c r="AK63"/>
      <c r="AL63"/>
      <c r="AM63"/>
      <c r="AN63"/>
      <c r="AO63"/>
      <c r="AP63"/>
      <c r="AQ63"/>
      <c r="AR63"/>
      <c r="AS63"/>
      <c r="AT63"/>
      <c r="AU63"/>
      <c r="AV63"/>
      <c r="AW63"/>
      <c r="AX63"/>
      <c r="AY63"/>
      <c r="AZ63"/>
      <c r="BA63"/>
      <c r="BB63"/>
      <c r="BC63"/>
      <c r="BD63"/>
      <c r="BE63"/>
      <c r="BF63"/>
      <c r="BG63"/>
      <c r="BH63"/>
      <c r="BI63"/>
      <c r="BJ63"/>
    </row>
    <row r="64" spans="1:62" ht="21" customHeight="1">
      <c r="A64" s="11"/>
      <c r="B64" s="153" t="s">
        <v>302</v>
      </c>
      <c r="C64" s="154">
        <f>$D$26*'INITIAL DATA'!K84</f>
        <v>1362946.5280391036</v>
      </c>
      <c r="D64" s="154">
        <f t="shared" si="25"/>
        <v>20.103461288576778</v>
      </c>
      <c r="E64" s="655">
        <f t="shared" si="26"/>
        <v>8.3764422035736572E-2</v>
      </c>
      <c r="F64" s="655"/>
      <c r="G64" s="56"/>
      <c r="H64"/>
      <c r="I64" s="139">
        <v>2</v>
      </c>
      <c r="J64" s="363">
        <f>R77</f>
        <v>550471.650381963</v>
      </c>
      <c r="K64" s="363">
        <f t="shared" ref="K64:N64" si="28">S77</f>
        <v>577995.23290106107</v>
      </c>
      <c r="L64" s="363">
        <f t="shared" si="28"/>
        <v>606894.99454611423</v>
      </c>
      <c r="M64" s="363">
        <f t="shared" si="28"/>
        <v>637239.74427342007</v>
      </c>
      <c r="N64" s="363">
        <f t="shared" si="28"/>
        <v>669101.73148709105</v>
      </c>
      <c r="O64"/>
      <c r="P64" s="640"/>
      <c r="Q64" s="128" t="s">
        <v>131</v>
      </c>
      <c r="R64" s="524">
        <v>0</v>
      </c>
      <c r="S64" s="485">
        <v>0</v>
      </c>
      <c r="T64" s="485">
        <v>0</v>
      </c>
      <c r="U64" s="485">
        <v>0</v>
      </c>
      <c r="V64" s="485">
        <v>0</v>
      </c>
      <c r="W64" s="11"/>
      <c r="X64" s="640"/>
      <c r="Y64" s="128" t="s">
        <v>131</v>
      </c>
      <c r="Z64" s="524">
        <f t="shared" si="15"/>
        <v>0</v>
      </c>
      <c r="AA64" s="485">
        <f t="shared" si="16"/>
        <v>0</v>
      </c>
      <c r="AB64" s="485">
        <f t="shared" si="17"/>
        <v>0</v>
      </c>
      <c r="AC64" s="485">
        <f t="shared" si="18"/>
        <v>0</v>
      </c>
      <c r="AD64" s="485">
        <f t="shared" si="19"/>
        <v>0</v>
      </c>
      <c r="AE64"/>
      <c r="AF64"/>
      <c r="AG64"/>
      <c r="AH64"/>
      <c r="AI64"/>
      <c r="AJ64"/>
      <c r="AK64"/>
      <c r="AL64"/>
      <c r="AM64"/>
      <c r="AN64"/>
      <c r="AO64"/>
      <c r="AP64"/>
      <c r="AQ64"/>
      <c r="AR64"/>
      <c r="AS64"/>
      <c r="AT64"/>
      <c r="AU64"/>
      <c r="AV64"/>
      <c r="AW64"/>
      <c r="AX64"/>
      <c r="AY64"/>
      <c r="AZ64"/>
      <c r="BA64"/>
      <c r="BB64"/>
      <c r="BC64"/>
      <c r="BD64"/>
      <c r="BE64"/>
      <c r="BF64"/>
      <c r="BG64"/>
      <c r="BH64"/>
      <c r="BI64"/>
      <c r="BJ64"/>
    </row>
    <row r="65" spans="1:62" ht="21" customHeight="1">
      <c r="A65" s="11"/>
      <c r="B65" s="153" t="s">
        <v>294</v>
      </c>
      <c r="C65" s="154">
        <f>$D$26*'INITIAL DATA'!K85</f>
        <v>94725283.434672728</v>
      </c>
      <c r="D65" s="154">
        <f t="shared" si="25"/>
        <v>1397.1979306614228</v>
      </c>
      <c r="E65" s="655">
        <f t="shared" si="26"/>
        <v>5.8216580444225947</v>
      </c>
      <c r="F65" s="655"/>
      <c r="G65" s="56"/>
      <c r="H65"/>
      <c r="I65" s="139">
        <v>3</v>
      </c>
      <c r="J65" s="363">
        <f>Z101</f>
        <v>592657.39368946035</v>
      </c>
      <c r="K65" s="363">
        <f t="shared" ref="K65:N65" si="29">AA101</f>
        <v>622290.26337393327</v>
      </c>
      <c r="L65" s="363">
        <f t="shared" si="29"/>
        <v>653404.77654263016</v>
      </c>
      <c r="M65" s="363">
        <f t="shared" si="29"/>
        <v>686075.01536976174</v>
      </c>
      <c r="N65" s="363">
        <f t="shared" si="29"/>
        <v>720378.76613824966</v>
      </c>
      <c r="O65"/>
      <c r="P65" s="640"/>
      <c r="Q65" s="360" t="s">
        <v>20</v>
      </c>
      <c r="R65" s="486">
        <f>SUM(R58:R64)</f>
        <v>120469.93685795843</v>
      </c>
      <c r="S65" s="486">
        <f t="shared" ref="S65:V65" si="30">SUM(S58:S64)</f>
        <v>130937.01924941217</v>
      </c>
      <c r="T65" s="486">
        <f t="shared" si="30"/>
        <v>136513.0742051345</v>
      </c>
      <c r="U65" s="486">
        <f t="shared" si="30"/>
        <v>140003.07833659052</v>
      </c>
      <c r="V65" s="486">
        <f t="shared" si="30"/>
        <v>140996.67208249791</v>
      </c>
      <c r="W65" s="11"/>
      <c r="X65" s="640"/>
      <c r="Y65" s="360" t="s">
        <v>20</v>
      </c>
      <c r="Z65" s="486">
        <f t="shared" si="15"/>
        <v>120469.93685795843</v>
      </c>
      <c r="AA65" s="486">
        <f t="shared" si="16"/>
        <v>130937.01924941217</v>
      </c>
      <c r="AB65" s="486">
        <f t="shared" si="17"/>
        <v>136513.0742051345</v>
      </c>
      <c r="AC65" s="486">
        <f t="shared" si="18"/>
        <v>140003.07833659052</v>
      </c>
      <c r="AD65" s="486">
        <f t="shared" si="19"/>
        <v>140996.67208249791</v>
      </c>
      <c r="AE65"/>
      <c r="AF65"/>
      <c r="AG65"/>
      <c r="AH65"/>
      <c r="AI65"/>
      <c r="AJ65"/>
      <c r="AK65"/>
      <c r="AL65"/>
      <c r="AM65"/>
      <c r="AN65"/>
      <c r="AO65"/>
      <c r="AP65"/>
      <c r="AQ65"/>
      <c r="AR65"/>
      <c r="AS65"/>
      <c r="AT65"/>
      <c r="AU65"/>
      <c r="AV65"/>
      <c r="AW65"/>
      <c r="AX65"/>
      <c r="AY65"/>
      <c r="AZ65"/>
      <c r="BA65"/>
      <c r="BB65"/>
      <c r="BC65"/>
      <c r="BD65"/>
      <c r="BE65"/>
      <c r="BF65"/>
      <c r="BG65"/>
      <c r="BH65"/>
      <c r="BI65"/>
      <c r="BJ65"/>
    </row>
    <row r="66" spans="1:62" ht="21" customHeight="1">
      <c r="A66" s="11"/>
      <c r="B66" s="153" t="s">
        <v>295</v>
      </c>
      <c r="C66" s="154">
        <f>$D$26*'INITIAL DATA'!K86</f>
        <v>57751819.06526386</v>
      </c>
      <c r="D66" s="154">
        <f t="shared" si="25"/>
        <v>851.83933121264192</v>
      </c>
      <c r="E66" s="655">
        <f t="shared" si="26"/>
        <v>3.5493305467193412</v>
      </c>
      <c r="F66" s="655"/>
      <c r="G66" s="56"/>
      <c r="H66"/>
      <c r="I66" s="139"/>
      <c r="J66" s="364"/>
      <c r="K66" s="364"/>
      <c r="L66" s="364"/>
      <c r="M66" s="364"/>
      <c r="N66" s="364"/>
      <c r="O66"/>
      <c r="P66" s="641" t="s">
        <v>336</v>
      </c>
      <c r="Q66" s="128" t="s">
        <v>122</v>
      </c>
      <c r="R66" s="485">
        <f>C35*C10</f>
        <v>16879.414774651963</v>
      </c>
      <c r="S66" s="485">
        <f>R66*(1+Dashboard!$D$16)</f>
        <v>17723.385513384561</v>
      </c>
      <c r="T66" s="485">
        <f>S66*(1+Dashboard!$D$16)</f>
        <v>18609.554789053789</v>
      </c>
      <c r="U66" s="485">
        <f>T66*(1+Dashboard!$D$16)</f>
        <v>19540.032528506479</v>
      </c>
      <c r="V66" s="485">
        <f>U66*(1+Dashboard!$D$16)</f>
        <v>20517.034154931804</v>
      </c>
      <c r="W66" s="11"/>
      <c r="X66" s="641" t="s">
        <v>336</v>
      </c>
      <c r="Y66" s="128" t="s">
        <v>122</v>
      </c>
      <c r="Z66" s="485">
        <f t="shared" si="15"/>
        <v>16879.414774651963</v>
      </c>
      <c r="AA66" s="485">
        <f t="shared" si="16"/>
        <v>17723.385513384561</v>
      </c>
      <c r="AB66" s="485">
        <f t="shared" si="17"/>
        <v>18609.554789053789</v>
      </c>
      <c r="AC66" s="485">
        <f t="shared" si="18"/>
        <v>19540.032528506479</v>
      </c>
      <c r="AD66" s="485">
        <f t="shared" si="19"/>
        <v>20517.034154931804</v>
      </c>
      <c r="AE66"/>
      <c r="AF66"/>
      <c r="AG66"/>
      <c r="AH66"/>
      <c r="AI66"/>
      <c r="AJ66"/>
      <c r="AK66"/>
      <c r="AL66"/>
      <c r="AM66"/>
      <c r="AN66"/>
      <c r="AO66"/>
      <c r="AP66"/>
      <c r="AQ66"/>
      <c r="AR66"/>
      <c r="AS66"/>
      <c r="AT66"/>
      <c r="AU66"/>
      <c r="AV66"/>
      <c r="AW66"/>
      <c r="AX66"/>
      <c r="AY66"/>
      <c r="AZ66"/>
      <c r="BA66"/>
      <c r="BB66"/>
      <c r="BC66"/>
      <c r="BD66"/>
      <c r="BE66"/>
      <c r="BF66"/>
      <c r="BG66"/>
      <c r="BH66"/>
      <c r="BI66"/>
      <c r="BJ66"/>
    </row>
    <row r="67" spans="1:62" ht="21" customHeight="1">
      <c r="A67" s="11"/>
      <c r="B67" s="153" t="s">
        <v>301</v>
      </c>
      <c r="C67" s="154">
        <f>$D$26*'INITIAL DATA'!K87</f>
        <v>17326178.718455542</v>
      </c>
      <c r="D67" s="154">
        <f t="shared" si="25"/>
        <v>255.56113609721925</v>
      </c>
      <c r="E67" s="655">
        <f t="shared" si="26"/>
        <v>1.0648380670717468</v>
      </c>
      <c r="F67" s="655"/>
      <c r="G67" s="56"/>
      <c r="H67"/>
      <c r="I67" s="139"/>
      <c r="J67" s="365"/>
      <c r="K67" s="365"/>
      <c r="L67" s="365"/>
      <c r="M67" s="365"/>
      <c r="N67" s="365"/>
      <c r="O67"/>
      <c r="P67" s="641"/>
      <c r="Q67" s="128" t="s">
        <v>124</v>
      </c>
      <c r="R67" s="485">
        <v>0</v>
      </c>
      <c r="S67" s="485">
        <v>0</v>
      </c>
      <c r="T67" s="485">
        <v>0</v>
      </c>
      <c r="U67" s="485">
        <v>0</v>
      </c>
      <c r="V67" s="485">
        <v>0</v>
      </c>
      <c r="W67" s="11"/>
      <c r="X67" s="641"/>
      <c r="Y67" s="128" t="s">
        <v>124</v>
      </c>
      <c r="Z67" s="485">
        <f t="shared" si="15"/>
        <v>0</v>
      </c>
      <c r="AA67" s="485">
        <f t="shared" si="16"/>
        <v>0</v>
      </c>
      <c r="AB67" s="485">
        <f t="shared" si="17"/>
        <v>0</v>
      </c>
      <c r="AC67" s="485">
        <f t="shared" si="18"/>
        <v>0</v>
      </c>
      <c r="AD67" s="485">
        <f t="shared" si="19"/>
        <v>0</v>
      </c>
      <c r="AE67"/>
      <c r="AF67"/>
      <c r="AG67"/>
      <c r="AH67"/>
      <c r="AI67"/>
      <c r="AJ67"/>
      <c r="AK67"/>
      <c r="AL67"/>
      <c r="AM67"/>
      <c r="AN67"/>
      <c r="AO67"/>
      <c r="AP67"/>
      <c r="AQ67"/>
      <c r="AR67"/>
      <c r="AS67"/>
      <c r="AT67"/>
      <c r="AU67"/>
      <c r="AV67"/>
      <c r="AW67"/>
      <c r="AX67"/>
      <c r="AY67"/>
      <c r="AZ67"/>
      <c r="BA67"/>
      <c r="BB67"/>
      <c r="BC67"/>
      <c r="BD67"/>
      <c r="BE67"/>
      <c r="BF67"/>
      <c r="BG67"/>
      <c r="BH67"/>
      <c r="BI67"/>
      <c r="BJ67"/>
    </row>
    <row r="68" spans="1:62" ht="21" customHeight="1">
      <c r="A68" s="11"/>
      <c r="B68" s="153" t="s">
        <v>297</v>
      </c>
      <c r="C68" s="154">
        <f>$D$26*'INITIAL DATA'!K88</f>
        <v>7373437.4379275087</v>
      </c>
      <c r="D68" s="154">
        <f t="shared" si="25"/>
        <v>108.75820220943075</v>
      </c>
      <c r="E68" s="655">
        <f t="shared" si="26"/>
        <v>0.45315917587262811</v>
      </c>
      <c r="F68" s="655"/>
      <c r="G68" s="56"/>
      <c r="H68"/>
      <c r="I68"/>
      <c r="J68"/>
      <c r="K68"/>
      <c r="L68"/>
      <c r="M68"/>
      <c r="N68"/>
      <c r="O68"/>
      <c r="P68" s="641"/>
      <c r="Q68" s="128" t="s">
        <v>126</v>
      </c>
      <c r="R68" s="485">
        <f>E62*C10</f>
        <v>12448.568396305822</v>
      </c>
      <c r="S68" s="485">
        <f>R68*(1+Dashboard!$D$16)</f>
        <v>13070.996816121113</v>
      </c>
      <c r="T68" s="485">
        <f>S68*(1+Dashboard!$D$16)</f>
        <v>13724.546656927168</v>
      </c>
      <c r="U68" s="485">
        <f>T68*(1+Dashboard!$D$16)</f>
        <v>14410.773989773528</v>
      </c>
      <c r="V68" s="485">
        <f>U68*(1+Dashboard!$D$16)</f>
        <v>15131.312689262206</v>
      </c>
      <c r="W68" s="11"/>
      <c r="X68" s="641"/>
      <c r="Y68" s="128" t="s">
        <v>126</v>
      </c>
      <c r="Z68" s="485">
        <f t="shared" si="15"/>
        <v>12448.568396305822</v>
      </c>
      <c r="AA68" s="485">
        <f t="shared" si="16"/>
        <v>13070.996816121113</v>
      </c>
      <c r="AB68" s="485">
        <f t="shared" si="17"/>
        <v>13724.546656927168</v>
      </c>
      <c r="AC68" s="485">
        <f t="shared" si="18"/>
        <v>14410.773989773528</v>
      </c>
      <c r="AD68" s="485">
        <f t="shared" si="19"/>
        <v>15131.312689262206</v>
      </c>
      <c r="AE68"/>
      <c r="AF68"/>
      <c r="AG68"/>
      <c r="AH68"/>
      <c r="AI68"/>
      <c r="AJ68"/>
      <c r="AK68"/>
      <c r="AL68"/>
      <c r="AM68"/>
      <c r="AN68"/>
      <c r="AO68"/>
      <c r="AP68"/>
      <c r="AQ68"/>
      <c r="AR68"/>
      <c r="AS68"/>
      <c r="AT68"/>
      <c r="AU68"/>
      <c r="AV68"/>
      <c r="AW68"/>
      <c r="AX68"/>
      <c r="AY68"/>
      <c r="AZ68"/>
      <c r="BA68"/>
      <c r="BB68"/>
      <c r="BC68"/>
      <c r="BD68"/>
      <c r="BE68"/>
      <c r="BF68"/>
      <c r="BG68"/>
      <c r="BH68"/>
      <c r="BI68"/>
      <c r="BJ68"/>
    </row>
    <row r="69" spans="1:62" ht="21" customHeight="1">
      <c r="A69" s="11"/>
      <c r="B69"/>
      <c r="C69" s="56"/>
      <c r="D69" s="155"/>
      <c r="E69" s="56"/>
      <c r="F69" s="56"/>
      <c r="G69" s="56"/>
      <c r="H69"/>
      <c r="I69"/>
      <c r="J69"/>
      <c r="K69"/>
      <c r="L69"/>
      <c r="M69"/>
      <c r="N69"/>
      <c r="O69"/>
      <c r="P69" s="641"/>
      <c r="Q69" s="128" t="s">
        <v>128</v>
      </c>
      <c r="R69" s="485">
        <f>D62*F51</f>
        <v>2390.1251320907177</v>
      </c>
      <c r="S69" s="485">
        <f>R69*(1+Dashboard!$D$16)</f>
        <v>2509.6313886952535</v>
      </c>
      <c r="T69" s="485">
        <f>S69*(1+Dashboard!$D$16)</f>
        <v>2635.1129581300161</v>
      </c>
      <c r="U69" s="485">
        <f>T69*(1+Dashboard!$D$16)</f>
        <v>2766.8686060365171</v>
      </c>
      <c r="V69" s="485">
        <f>U69*(1+Dashboard!$D$16)</f>
        <v>2905.2120363383433</v>
      </c>
      <c r="W69" s="11"/>
      <c r="X69" s="641"/>
      <c r="Y69" s="128" t="s">
        <v>128</v>
      </c>
      <c r="Z69" s="485">
        <f t="shared" si="15"/>
        <v>2390.1251320907177</v>
      </c>
      <c r="AA69" s="485">
        <f t="shared" si="16"/>
        <v>2509.6313886952535</v>
      </c>
      <c r="AB69" s="485">
        <f t="shared" si="17"/>
        <v>2635.1129581300161</v>
      </c>
      <c r="AC69" s="485">
        <f t="shared" si="18"/>
        <v>2766.8686060365171</v>
      </c>
      <c r="AD69" s="485">
        <f t="shared" si="19"/>
        <v>2905.2120363383433</v>
      </c>
      <c r="AE69"/>
      <c r="AF69"/>
      <c r="AG69"/>
      <c r="AH69"/>
      <c r="AI69"/>
      <c r="AJ69"/>
      <c r="AK69"/>
      <c r="AL69"/>
      <c r="AM69"/>
      <c r="AN69"/>
      <c r="AO69"/>
      <c r="AP69"/>
      <c r="AQ69"/>
      <c r="AR69"/>
      <c r="AS69"/>
      <c r="AT69"/>
      <c r="AU69"/>
      <c r="AV69"/>
      <c r="AW69"/>
      <c r="AX69"/>
      <c r="AY69"/>
      <c r="AZ69"/>
      <c r="BA69"/>
      <c r="BB69"/>
      <c r="BC69"/>
      <c r="BD69"/>
      <c r="BE69"/>
      <c r="BF69"/>
      <c r="BG69"/>
      <c r="BH69"/>
      <c r="BI69"/>
      <c r="BJ69"/>
    </row>
    <row r="70" spans="1:62" ht="21" customHeight="1">
      <c r="A70" s="11"/>
      <c r="B70" s="656" t="s">
        <v>162</v>
      </c>
      <c r="C70" s="656"/>
      <c r="D70" s="156">
        <f>D65+D66+D61</f>
        <v>2711.9869036573768</v>
      </c>
      <c r="E70"/>
      <c r="F70" s="56"/>
      <c r="G70" s="56"/>
      <c r="H70"/>
      <c r="I70"/>
      <c r="J70" s="634"/>
      <c r="K70" s="634"/>
      <c r="L70" s="634"/>
      <c r="M70" s="634"/>
      <c r="N70" s="634"/>
      <c r="O70"/>
      <c r="P70" s="641"/>
      <c r="Q70" s="128" t="s">
        <v>129</v>
      </c>
      <c r="R70" s="485">
        <f>'INTERNAL SHIPMENT'!I75</f>
        <v>87886.242281395098</v>
      </c>
      <c r="S70" s="485">
        <f>'INTERNAL SHIPMENT'!O75</f>
        <v>96692.212421218399</v>
      </c>
      <c r="T70" s="485">
        <f>'INTERNAL SHIPMENT'!U75</f>
        <v>100563.00228362816</v>
      </c>
      <c r="U70" s="485">
        <f>'INTERNAL SHIPMENT'!AA75</f>
        <v>102279.46973194971</v>
      </c>
      <c r="V70" s="485">
        <f>'INTERNAL SHIPMENT'!AG75</f>
        <v>101430.04066993808</v>
      </c>
      <c r="W70" s="11"/>
      <c r="X70" s="641"/>
      <c r="Y70" s="128" t="s">
        <v>129</v>
      </c>
      <c r="Z70" s="485">
        <f t="shared" si="15"/>
        <v>87886.242281395098</v>
      </c>
      <c r="AA70" s="485">
        <f t="shared" si="16"/>
        <v>96692.212421218399</v>
      </c>
      <c r="AB70" s="485">
        <f t="shared" si="17"/>
        <v>100563.00228362816</v>
      </c>
      <c r="AC70" s="485">
        <f t="shared" si="18"/>
        <v>102279.46973194971</v>
      </c>
      <c r="AD70" s="485">
        <f t="shared" si="19"/>
        <v>101430.04066993808</v>
      </c>
      <c r="AE70"/>
      <c r="AF70"/>
      <c r="AG70"/>
      <c r="AH70"/>
      <c r="AI70"/>
      <c r="AJ70"/>
      <c r="AK70"/>
      <c r="AL70"/>
      <c r="AM70"/>
      <c r="AN70"/>
      <c r="AO70"/>
      <c r="AP70"/>
      <c r="AQ70"/>
      <c r="AR70"/>
      <c r="AS70"/>
      <c r="AT70"/>
      <c r="AU70"/>
      <c r="AV70"/>
      <c r="AW70"/>
      <c r="AX70"/>
      <c r="AY70"/>
      <c r="AZ70"/>
      <c r="BA70"/>
      <c r="BB70"/>
      <c r="BC70"/>
      <c r="BD70"/>
      <c r="BE70"/>
      <c r="BF70"/>
      <c r="BG70"/>
      <c r="BH70"/>
      <c r="BI70"/>
      <c r="BJ70"/>
    </row>
    <row r="71" spans="1:62" ht="21" customHeight="1">
      <c r="A71" s="11"/>
      <c r="B71" s="656" t="s">
        <v>163</v>
      </c>
      <c r="C71" s="656"/>
      <c r="D71" s="156">
        <f>D65+D66+D61+D62+D68+D60</f>
        <v>3120.591842827545</v>
      </c>
      <c r="E71"/>
      <c r="F71" s="56"/>
      <c r="G71" s="56"/>
      <c r="H71"/>
      <c r="I71"/>
      <c r="J71"/>
      <c r="K71"/>
      <c r="L71"/>
      <c r="M71"/>
      <c r="N71"/>
      <c r="O71"/>
      <c r="P71" s="641"/>
      <c r="Q71" s="128" t="s">
        <v>130</v>
      </c>
      <c r="R71" s="524">
        <v>0</v>
      </c>
      <c r="S71" s="485">
        <v>0</v>
      </c>
      <c r="T71" s="485">
        <v>0</v>
      </c>
      <c r="U71" s="485">
        <v>0</v>
      </c>
      <c r="V71" s="485">
        <v>0</v>
      </c>
      <c r="W71" s="11"/>
      <c r="X71" s="641"/>
      <c r="Y71" s="128" t="s">
        <v>130</v>
      </c>
      <c r="Z71" s="524">
        <f t="shared" si="15"/>
        <v>0</v>
      </c>
      <c r="AA71" s="485">
        <f t="shared" si="16"/>
        <v>0</v>
      </c>
      <c r="AB71" s="485">
        <f t="shared" si="17"/>
        <v>0</v>
      </c>
      <c r="AC71" s="485">
        <f t="shared" si="18"/>
        <v>0</v>
      </c>
      <c r="AD71" s="485">
        <f t="shared" si="19"/>
        <v>0</v>
      </c>
      <c r="AE71"/>
      <c r="AF71"/>
      <c r="AG71"/>
      <c r="AH71"/>
      <c r="AI71"/>
      <c r="AJ71"/>
      <c r="AK71"/>
      <c r="AL71"/>
      <c r="AM71"/>
      <c r="AN71"/>
      <c r="AO71"/>
      <c r="AP71"/>
      <c r="AQ71"/>
      <c r="AR71"/>
      <c r="AS71"/>
      <c r="AT71"/>
      <c r="AU71"/>
      <c r="AV71"/>
      <c r="AW71"/>
      <c r="AX71"/>
      <c r="AY71"/>
      <c r="AZ71"/>
      <c r="BA71"/>
      <c r="BB71"/>
      <c r="BC71"/>
      <c r="BD71"/>
      <c r="BE71"/>
      <c r="BF71"/>
      <c r="BG71"/>
      <c r="BH71"/>
      <c r="BI71"/>
      <c r="BJ71"/>
    </row>
    <row r="72" spans="1:62" ht="21" customHeight="1">
      <c r="A72" s="11"/>
      <c r="B72" s="656" t="s">
        <v>164</v>
      </c>
      <c r="C72" s="656"/>
      <c r="D72" s="156">
        <f>SUM(D60:D68)</f>
        <v>3545.2805338426197</v>
      </c>
      <c r="E72"/>
      <c r="F72" s="56"/>
      <c r="G72" s="56"/>
      <c r="H72"/>
      <c r="I72"/>
      <c r="J72"/>
      <c r="K72"/>
      <c r="L72"/>
      <c r="M72"/>
      <c r="N72"/>
      <c r="O72"/>
      <c r="P72" s="641"/>
      <c r="Q72" s="128" t="s">
        <v>131</v>
      </c>
      <c r="R72" s="524">
        <v>0</v>
      </c>
      <c r="S72" s="485">
        <v>0</v>
      </c>
      <c r="T72" s="485">
        <v>0</v>
      </c>
      <c r="U72" s="485">
        <v>0</v>
      </c>
      <c r="V72" s="485">
        <v>0</v>
      </c>
      <c r="W72" s="11"/>
      <c r="X72" s="641"/>
      <c r="Y72" s="128" t="s">
        <v>131</v>
      </c>
      <c r="Z72" s="524">
        <f t="shared" si="15"/>
        <v>0</v>
      </c>
      <c r="AA72" s="485">
        <f t="shared" si="16"/>
        <v>0</v>
      </c>
      <c r="AB72" s="485">
        <f t="shared" si="17"/>
        <v>0</v>
      </c>
      <c r="AC72" s="485">
        <f t="shared" si="18"/>
        <v>0</v>
      </c>
      <c r="AD72" s="485">
        <f t="shared" si="19"/>
        <v>0</v>
      </c>
      <c r="AE72" s="20"/>
      <c r="AF72" s="20"/>
      <c r="AG72" s="11"/>
      <c r="AH72"/>
      <c r="AI72"/>
      <c r="AJ72"/>
      <c r="AK72"/>
      <c r="AL72"/>
      <c r="AM72"/>
      <c r="AN72"/>
      <c r="AO72"/>
      <c r="AP72"/>
      <c r="AQ72"/>
      <c r="AR72"/>
      <c r="AS72"/>
      <c r="AT72"/>
      <c r="AU72"/>
      <c r="AV72"/>
      <c r="AW72"/>
      <c r="AX72"/>
      <c r="AY72"/>
      <c r="AZ72"/>
      <c r="BA72"/>
      <c r="BB72"/>
      <c r="BC72"/>
      <c r="BD72"/>
      <c r="BE72"/>
      <c r="BF72"/>
      <c r="BG72"/>
      <c r="BH72"/>
      <c r="BI72"/>
      <c r="BJ72"/>
    </row>
    <row r="73" spans="1:62" ht="21" customHeight="1">
      <c r="A73" s="11"/>
      <c r="B73" s="4"/>
      <c r="C73" s="4"/>
      <c r="D73" s="157"/>
      <c r="E73"/>
      <c r="F73" s="56"/>
      <c r="G73" s="56"/>
      <c r="H73"/>
      <c r="I73"/>
      <c r="J73"/>
      <c r="K73"/>
      <c r="L73"/>
      <c r="M73"/>
      <c r="N73"/>
      <c r="O73"/>
      <c r="P73" s="641"/>
      <c r="Q73" s="360" t="s">
        <v>20</v>
      </c>
      <c r="R73" s="486">
        <f>SUM(R66:R72)</f>
        <v>119604.3505844436</v>
      </c>
      <c r="S73" s="486">
        <f t="shared" ref="S73:V73" si="31">SUM(S66:S72)</f>
        <v>129996.22613941933</v>
      </c>
      <c r="T73" s="486">
        <f t="shared" si="31"/>
        <v>135532.21668773913</v>
      </c>
      <c r="U73" s="486">
        <f t="shared" si="31"/>
        <v>138997.14485626621</v>
      </c>
      <c r="V73" s="486">
        <f t="shared" si="31"/>
        <v>139983.59955047042</v>
      </c>
      <c r="W73" s="11"/>
      <c r="X73" s="641"/>
      <c r="Y73" s="360" t="s">
        <v>20</v>
      </c>
      <c r="Z73" s="486">
        <f t="shared" si="15"/>
        <v>119604.3505844436</v>
      </c>
      <c r="AA73" s="486">
        <f t="shared" si="16"/>
        <v>129996.22613941933</v>
      </c>
      <c r="AB73" s="486">
        <f t="shared" si="17"/>
        <v>135532.21668773913</v>
      </c>
      <c r="AC73" s="486">
        <f t="shared" si="18"/>
        <v>138997.14485626621</v>
      </c>
      <c r="AD73" s="486">
        <f t="shared" si="19"/>
        <v>139983.59955047042</v>
      </c>
      <c r="AE73" s="20"/>
      <c r="AF73" s="20"/>
      <c r="AG73" s="11"/>
      <c r="AH73"/>
      <c r="AI73"/>
      <c r="AJ73"/>
      <c r="AK73"/>
      <c r="AL73"/>
      <c r="AM73"/>
      <c r="AN73"/>
      <c r="AO73"/>
      <c r="AP73"/>
      <c r="AQ73"/>
      <c r="AR73"/>
      <c r="AS73"/>
      <c r="AT73"/>
      <c r="AU73"/>
      <c r="AV73"/>
      <c r="AW73"/>
      <c r="AX73"/>
      <c r="AY73"/>
      <c r="AZ73"/>
      <c r="BA73"/>
      <c r="BB73"/>
      <c r="BC73"/>
      <c r="BD73"/>
      <c r="BE73"/>
      <c r="BF73"/>
      <c r="BG73"/>
      <c r="BH73"/>
      <c r="BI73"/>
      <c r="BJ73"/>
    </row>
    <row r="74" spans="1:62" ht="21" customHeight="1">
      <c r="A74" s="11"/>
      <c r="B74" s="674" t="s">
        <v>387</v>
      </c>
      <c r="C74" s="674"/>
      <c r="D74" s="674"/>
      <c r="E74" s="674"/>
      <c r="F74" s="674"/>
      <c r="G74" s="56"/>
      <c r="H74"/>
      <c r="I74"/>
      <c r="J74"/>
      <c r="K74"/>
      <c r="L74"/>
      <c r="M74"/>
      <c r="N74"/>
      <c r="O74"/>
      <c r="P74" s="384"/>
      <c r="Q74" s="488" t="s">
        <v>149</v>
      </c>
      <c r="R74" s="485">
        <f>'EXTERNAL INCOMES'!C18</f>
        <v>1219474.4615550372</v>
      </c>
      <c r="S74" s="485">
        <f>'EXTERNAL INCOMES'!D18</f>
        <v>1317032.41847944</v>
      </c>
      <c r="T74" s="485">
        <f>'EXTERNAL INCOMES'!E18</f>
        <v>1329412.523213147</v>
      </c>
      <c r="U74" s="485">
        <f>'EXTERNAL INCOMES'!F18</f>
        <v>1315852.515476373</v>
      </c>
      <c r="V74" s="485">
        <f>'EXTERNAL INCOMES'!G18</f>
        <v>1266376.460894461</v>
      </c>
      <c r="W74" s="11"/>
      <c r="X74" s="642" t="s">
        <v>337</v>
      </c>
      <c r="Y74" s="128" t="s">
        <v>122</v>
      </c>
      <c r="Z74" s="485">
        <f>C36*C10</f>
        <v>16838.880636076694</v>
      </c>
      <c r="AA74" s="485">
        <f>Z74*(1+Dashboard!$D$16)</f>
        <v>17680.82466788053</v>
      </c>
      <c r="AB74" s="485">
        <f>AA74*(1+Dashboard!$D$16)</f>
        <v>18564.865901274556</v>
      </c>
      <c r="AC74" s="485">
        <f>AB74*(1+Dashboard!$D$16)</f>
        <v>19493.109196338286</v>
      </c>
      <c r="AD74" s="485">
        <f>AC74*(1+Dashboard!$D$16)</f>
        <v>20467.764656155203</v>
      </c>
      <c r="AE74"/>
      <c r="AF74" s="11"/>
      <c r="AG74" s="11"/>
      <c r="AH74"/>
      <c r="AI74"/>
      <c r="AJ74"/>
      <c r="AK74"/>
      <c r="AL74"/>
      <c r="AM74"/>
      <c r="AN74"/>
      <c r="AO74"/>
      <c r="AP74"/>
      <c r="AQ74"/>
      <c r="AR74"/>
      <c r="AS74"/>
      <c r="AT74"/>
      <c r="AU74"/>
      <c r="AV74"/>
      <c r="AW74"/>
      <c r="AX74"/>
      <c r="AY74"/>
      <c r="AZ74"/>
      <c r="BA74"/>
      <c r="BB74"/>
      <c r="BC74"/>
      <c r="BD74"/>
      <c r="BE74"/>
      <c r="BF74"/>
      <c r="BG74"/>
      <c r="BH74"/>
      <c r="BI74"/>
      <c r="BJ74"/>
    </row>
    <row r="75" spans="1:62" ht="21" customHeight="1">
      <c r="A75" s="11"/>
      <c r="B75" s="673" t="s">
        <v>388</v>
      </c>
      <c r="C75" s="673"/>
      <c r="D75" s="673"/>
      <c r="E75" s="676" t="s">
        <v>165</v>
      </c>
      <c r="F75" s="676"/>
      <c r="G75" s="56"/>
      <c r="H75"/>
      <c r="I75"/>
      <c r="J75" s="634"/>
      <c r="K75" s="634"/>
      <c r="L75" s="634"/>
      <c r="M75" s="634"/>
      <c r="N75" s="634"/>
      <c r="O75"/>
      <c r="P75" s="384"/>
      <c r="Q75" s="488" t="s">
        <v>150</v>
      </c>
      <c r="R75" s="485">
        <f>'EXTERNAL INCOMES'!C25</f>
        <v>-122287.73037843898</v>
      </c>
      <c r="S75" s="485">
        <f>'EXTERNAL INCOMES'!D25</f>
        <v>-142636.40871341119</v>
      </c>
      <c r="T75" s="485">
        <f>'EXTERNAL INCOMES'!E25</f>
        <v>-161607.05107229491</v>
      </c>
      <c r="U75" s="485">
        <f>'EXTERNAL INCOMES'!F25</f>
        <v>-176280.97130965936</v>
      </c>
      <c r="V75" s="485">
        <f>'EXTERNAL INCOMES'!G25</f>
        <v>-189092.19089958881</v>
      </c>
      <c r="W75" s="11"/>
      <c r="X75" s="642"/>
      <c r="Y75" s="128" t="s">
        <v>124</v>
      </c>
      <c r="Z75" s="485">
        <f t="shared" ref="Z75:Z96" si="32">R75</f>
        <v>-122287.73037843898</v>
      </c>
      <c r="AA75" s="485">
        <f t="shared" ref="AA75:AA96" si="33">S75</f>
        <v>-142636.40871341119</v>
      </c>
      <c r="AB75" s="485">
        <f t="shared" ref="AB75:AB96" si="34">T75</f>
        <v>-161607.05107229491</v>
      </c>
      <c r="AC75" s="485">
        <f t="shared" ref="AC75:AC96" si="35">U75</f>
        <v>-176280.97130965936</v>
      </c>
      <c r="AD75" s="485">
        <f t="shared" ref="AD75:AD96" si="36">V75</f>
        <v>-189092.19089958881</v>
      </c>
      <c r="AE75"/>
      <c r="AF75" s="11"/>
      <c r="AG75" s="11"/>
      <c r="AH75"/>
      <c r="AI75"/>
      <c r="AJ75"/>
      <c r="AK75"/>
      <c r="AL75"/>
      <c r="AM75"/>
      <c r="AN75"/>
      <c r="AO75"/>
      <c r="AP75"/>
      <c r="AQ75"/>
      <c r="AR75"/>
      <c r="AS75"/>
      <c r="AT75"/>
      <c r="AU75"/>
      <c r="AV75"/>
      <c r="AW75"/>
      <c r="AX75"/>
      <c r="AY75"/>
      <c r="AZ75"/>
      <c r="BA75"/>
      <c r="BB75"/>
      <c r="BC75"/>
      <c r="BD75"/>
      <c r="BE75"/>
      <c r="BF75"/>
      <c r="BG75"/>
      <c r="BH75"/>
      <c r="BI75"/>
      <c r="BJ75"/>
    </row>
    <row r="76" spans="1:62" ht="21" customHeight="1">
      <c r="A76" s="11"/>
      <c r="B76" s="158" t="s">
        <v>102</v>
      </c>
      <c r="C76" s="515">
        <v>12</v>
      </c>
      <c r="D76" s="159" t="s">
        <v>166</v>
      </c>
      <c r="E76" s="160">
        <f>C76*$E$26</f>
        <v>66187.726669143856</v>
      </c>
      <c r="F76" s="159" t="s">
        <v>167</v>
      </c>
      <c r="G76" s="56"/>
      <c r="H76"/>
      <c r="I76"/>
      <c r="J76"/>
      <c r="K76"/>
      <c r="L76"/>
      <c r="M76"/>
      <c r="N76"/>
      <c r="O76"/>
      <c r="P76" s="384"/>
      <c r="Q76" s="383" t="s">
        <v>151</v>
      </c>
      <c r="R76" s="489">
        <f>R17+R25+R33+R41+R49+R57+R65+R73-R74-R75-R12-R13-R20-R21-R28-R29-R36-R37-R44-R45-R52-R53-R60-R61-R68-R69-Z12-Z13-Z20-Z21-Z28-Z29-Z36-Z37-Z44-Z45-Z52-Z53-Z60-Z61-Z68-Z69-Z76-Z77-Z84-Z85-Z92-Z93</f>
        <v>845117.60685007449</v>
      </c>
      <c r="S76" s="489">
        <f t="shared" ref="S76:V76" si="37">S17+S25+S33+S41+S49+S57+S65+S73-S74-S75-S12-S13-S20-S21-S28-S29-S36-S37-S44-S45-S52-S53-S60-S61-S68-S69</f>
        <v>1341860.053135403</v>
      </c>
      <c r="T76" s="489">
        <f t="shared" si="37"/>
        <v>1463144.0240913965</v>
      </c>
      <c r="U76" s="489">
        <f t="shared" si="37"/>
        <v>1584719.3351960697</v>
      </c>
      <c r="V76" s="489">
        <f t="shared" si="37"/>
        <v>1714422.8029227972</v>
      </c>
      <c r="W76" s="11"/>
      <c r="X76" s="642"/>
      <c r="Y76" s="128" t="s">
        <v>126</v>
      </c>
      <c r="Z76" s="485">
        <f>E63*C10</f>
        <v>12418.674469106563</v>
      </c>
      <c r="AA76" s="485">
        <f>Z76*(1+Dashboard!$D$16)</f>
        <v>13039.608192561893</v>
      </c>
      <c r="AB76" s="485">
        <f>AA76*(1+Dashboard!$D$16)</f>
        <v>13691.588602189988</v>
      </c>
      <c r="AC76" s="485">
        <f>AB76*(1+Dashboard!$D$16)</f>
        <v>14376.168032299487</v>
      </c>
      <c r="AD76" s="485">
        <f>AC76*(1+Dashboard!$D$16)</f>
        <v>15094.976433914462</v>
      </c>
      <c r="AE76"/>
      <c r="AF76" s="11"/>
      <c r="AG76" s="11"/>
      <c r="AH76"/>
      <c r="AI76"/>
      <c r="AJ76"/>
      <c r="AK76"/>
      <c r="AL76"/>
      <c r="AM76"/>
      <c r="AN76"/>
      <c r="AO76"/>
      <c r="AP76"/>
      <c r="AQ76"/>
      <c r="AR76"/>
      <c r="AS76"/>
      <c r="AT76"/>
      <c r="AU76"/>
      <c r="AV76"/>
      <c r="AW76"/>
      <c r="AX76"/>
      <c r="AY76"/>
      <c r="AZ76"/>
      <c r="BA76"/>
      <c r="BB76"/>
      <c r="BC76"/>
      <c r="BD76"/>
      <c r="BE76"/>
      <c r="BF76"/>
      <c r="BG76"/>
      <c r="BH76"/>
      <c r="BI76"/>
      <c r="BJ76"/>
    </row>
    <row r="77" spans="1:62" ht="21" customHeight="1">
      <c r="A77" s="11"/>
      <c r="B77" s="158" t="s">
        <v>103</v>
      </c>
      <c r="C77" s="515">
        <v>8</v>
      </c>
      <c r="D77" s="159" t="s">
        <v>166</v>
      </c>
      <c r="E77" s="160">
        <f t="shared" ref="E77:E79" si="38">C77*$E$26</f>
        <v>44125.151112762571</v>
      </c>
      <c r="F77" s="159" t="s">
        <v>167</v>
      </c>
      <c r="G77" s="56"/>
      <c r="H77"/>
      <c r="I77"/>
      <c r="J77"/>
      <c r="K77"/>
      <c r="L77"/>
      <c r="M77"/>
      <c r="N77"/>
      <c r="O77"/>
      <c r="P77" s="384"/>
      <c r="Q77" s="490" t="s">
        <v>168</v>
      </c>
      <c r="R77" s="489">
        <f>I98+R12+R13+R20+R21+R28+R29+R36+R37+R44+R45+R52+R53+R60+R61+R68+R69</f>
        <v>550471.650381963</v>
      </c>
      <c r="S77" s="489">
        <f t="shared" ref="S77:V77" si="39">J98+S12+S13+S20+S21+S28+S29+S36+S37+S44+S45+S52+S53+S60+S61+S68+S69</f>
        <v>577995.23290106107</v>
      </c>
      <c r="T77" s="489">
        <f t="shared" si="39"/>
        <v>606894.99454611423</v>
      </c>
      <c r="U77" s="489">
        <f t="shared" si="39"/>
        <v>637239.74427342007</v>
      </c>
      <c r="V77" s="489">
        <f t="shared" si="39"/>
        <v>669101.73148709105</v>
      </c>
      <c r="W77" s="11"/>
      <c r="X77" s="642"/>
      <c r="Y77" s="128" t="s">
        <v>128</v>
      </c>
      <c r="Z77" s="485">
        <f>D63*F52</f>
        <v>2384.38549806846</v>
      </c>
      <c r="AA77" s="485">
        <f>Z77*(1+Dashboard!$D$16)</f>
        <v>2503.604772971883</v>
      </c>
      <c r="AB77" s="485">
        <f>AA77*(1+Dashboard!$D$16)</f>
        <v>2628.7850116204772</v>
      </c>
      <c r="AC77" s="485">
        <f>AB77*(1+Dashboard!$D$16)</f>
        <v>2760.224262201501</v>
      </c>
      <c r="AD77" s="485">
        <f>AC77*(1+Dashboard!$D$16)</f>
        <v>2898.235475311576</v>
      </c>
      <c r="AE77"/>
      <c r="AF77" s="11"/>
      <c r="AG77" s="11"/>
      <c r="AH77"/>
      <c r="AI77"/>
      <c r="AJ77"/>
      <c r="AK77"/>
      <c r="AL77"/>
      <c r="AM77"/>
      <c r="AN77"/>
      <c r="AO77"/>
      <c r="AP77"/>
      <c r="AQ77"/>
      <c r="AR77"/>
      <c r="AS77"/>
      <c r="AT77"/>
      <c r="AU77"/>
      <c r="AV77"/>
      <c r="AW77"/>
      <c r="AX77"/>
      <c r="AY77"/>
      <c r="AZ77"/>
      <c r="BA77"/>
      <c r="BB77"/>
      <c r="BC77"/>
      <c r="BD77"/>
      <c r="BE77"/>
      <c r="BF77"/>
      <c r="BG77"/>
      <c r="BH77"/>
      <c r="BI77"/>
      <c r="BJ77"/>
    </row>
    <row r="78" spans="1:62" ht="21" customHeight="1">
      <c r="A78" s="11"/>
      <c r="B78" s="158" t="s">
        <v>104</v>
      </c>
      <c r="C78" s="515">
        <v>10</v>
      </c>
      <c r="D78" s="159" t="s">
        <v>166</v>
      </c>
      <c r="E78" s="160">
        <f t="shared" si="38"/>
        <v>55156.438890953214</v>
      </c>
      <c r="F78" s="159" t="s">
        <v>167</v>
      </c>
      <c r="G78" s="56"/>
      <c r="H78"/>
      <c r="I78"/>
      <c r="J78"/>
      <c r="K78"/>
      <c r="L78"/>
      <c r="M78"/>
      <c r="N78"/>
      <c r="O78"/>
      <c r="P78" s="384"/>
      <c r="Q78" s="145" t="s">
        <v>20</v>
      </c>
      <c r="R78" s="146">
        <f>SUM(R76:R77)</f>
        <v>1395589.2572320374</v>
      </c>
      <c r="S78" s="146">
        <f t="shared" ref="S78" si="40">SUM(S76:S77)</f>
        <v>1919855.2860364639</v>
      </c>
      <c r="T78" s="146">
        <f t="shared" ref="T78" si="41">SUM(T76:T77)</f>
        <v>2070039.0186375107</v>
      </c>
      <c r="U78" s="146">
        <f t="shared" ref="U78" si="42">SUM(U76:U77)</f>
        <v>2221959.0794694899</v>
      </c>
      <c r="V78" s="146">
        <f t="shared" ref="V78" si="43">SUM(V76:V77)</f>
        <v>2383524.5344098881</v>
      </c>
      <c r="W78"/>
      <c r="X78" s="642"/>
      <c r="Y78" s="128" t="s">
        <v>129</v>
      </c>
      <c r="Z78" s="485">
        <f>'INTERNAL SHIPMENT'!I98</f>
        <v>87675.192717707425</v>
      </c>
      <c r="AA78" s="485">
        <f>'INTERNAL SHIPMENT'!O98</f>
        <v>96460.016246780127</v>
      </c>
      <c r="AB78" s="485">
        <f>'INTERNAL SHIPMENT'!U98</f>
        <v>100321.51081460927</v>
      </c>
      <c r="AC78" s="485">
        <f>'INTERNAL SHIPMENT'!AA98</f>
        <v>102033.85634695571</v>
      </c>
      <c r="AD78" s="485">
        <f>'INTERNAL SHIPMENT'!AG98</f>
        <v>101186.46709946191</v>
      </c>
      <c r="AE78"/>
      <c r="AF78" s="11"/>
      <c r="AG78" s="11"/>
      <c r="AH78" s="11"/>
      <c r="AP78"/>
      <c r="AQ78"/>
      <c r="AR78"/>
      <c r="AS78"/>
      <c r="AT78"/>
      <c r="AU78"/>
      <c r="AV78"/>
      <c r="AW78"/>
      <c r="AX78"/>
      <c r="AY78"/>
      <c r="AZ78"/>
      <c r="BA78"/>
      <c r="BB78"/>
      <c r="BC78"/>
      <c r="BD78"/>
      <c r="BE78"/>
      <c r="BF78"/>
      <c r="BG78"/>
      <c r="BH78"/>
      <c r="BI78"/>
      <c r="BJ78"/>
    </row>
    <row r="79" spans="1:62" ht="21" customHeight="1">
      <c r="A79" s="11"/>
      <c r="B79" s="158" t="s">
        <v>105</v>
      </c>
      <c r="C79" s="515">
        <v>3</v>
      </c>
      <c r="D79" s="159" t="s">
        <v>166</v>
      </c>
      <c r="E79" s="160">
        <f t="shared" si="38"/>
        <v>16546.931667285964</v>
      </c>
      <c r="F79" s="159" t="s">
        <v>167</v>
      </c>
      <c r="G79" s="56"/>
      <c r="H79"/>
      <c r="I79"/>
      <c r="J79"/>
      <c r="K79"/>
      <c r="L79"/>
      <c r="M79"/>
      <c r="N79"/>
      <c r="O79"/>
      <c r="P79" s="161"/>
      <c r="Q79"/>
      <c r="R79"/>
      <c r="S79"/>
      <c r="T79"/>
      <c r="U79"/>
      <c r="V79"/>
      <c r="W79"/>
      <c r="X79" s="642"/>
      <c r="Y79" s="128" t="s">
        <v>130</v>
      </c>
      <c r="Z79" s="524">
        <f t="shared" si="32"/>
        <v>0</v>
      </c>
      <c r="AA79" s="485">
        <f t="shared" si="33"/>
        <v>0</v>
      </c>
      <c r="AB79" s="485">
        <f t="shared" si="34"/>
        <v>0</v>
      </c>
      <c r="AC79" s="485">
        <f t="shared" si="35"/>
        <v>0</v>
      </c>
      <c r="AD79" s="485">
        <f t="shared" si="36"/>
        <v>0</v>
      </c>
      <c r="AE79"/>
      <c r="AF79" s="11"/>
      <c r="AG79" s="11"/>
      <c r="AH79" s="11"/>
      <c r="AP79"/>
      <c r="AQ79"/>
      <c r="AR79"/>
      <c r="AS79"/>
      <c r="AT79"/>
      <c r="AU79"/>
      <c r="AV79"/>
      <c r="AW79"/>
      <c r="AX79"/>
      <c r="AY79"/>
      <c r="AZ79"/>
      <c r="BA79"/>
      <c r="BB79"/>
      <c r="BC79"/>
      <c r="BD79"/>
      <c r="BE79"/>
      <c r="BF79"/>
      <c r="BG79"/>
      <c r="BH79"/>
      <c r="BI79"/>
      <c r="BJ79"/>
    </row>
    <row r="80" spans="1:62" ht="21" customHeight="1">
      <c r="A80" s="11"/>
      <c r="B80"/>
      <c r="C80"/>
      <c r="D80"/>
      <c r="E80"/>
      <c r="F80"/>
      <c r="G80" s="56"/>
      <c r="H80"/>
      <c r="I80"/>
      <c r="J80"/>
      <c r="K80"/>
      <c r="L80"/>
      <c r="M80"/>
      <c r="N80"/>
      <c r="O80"/>
      <c r="Q80"/>
      <c r="R80"/>
      <c r="S80"/>
      <c r="T80"/>
      <c r="U80"/>
      <c r="V80"/>
      <c r="W80"/>
      <c r="X80" s="642"/>
      <c r="Y80" s="128" t="s">
        <v>131</v>
      </c>
      <c r="Z80" s="524">
        <f t="shared" si="32"/>
        <v>0</v>
      </c>
      <c r="AA80" s="485">
        <f t="shared" si="33"/>
        <v>0</v>
      </c>
      <c r="AB80" s="485">
        <f t="shared" si="34"/>
        <v>0</v>
      </c>
      <c r="AC80" s="485">
        <f t="shared" si="35"/>
        <v>0</v>
      </c>
      <c r="AD80" s="485">
        <f t="shared" si="36"/>
        <v>0</v>
      </c>
      <c r="AE80" s="11"/>
      <c r="AF80" s="11"/>
      <c r="AG80" s="11"/>
      <c r="AH80" s="11"/>
      <c r="AP80"/>
      <c r="AQ80"/>
      <c r="AR80"/>
      <c r="AS80"/>
      <c r="AT80"/>
      <c r="AU80"/>
      <c r="AV80"/>
      <c r="AW80"/>
      <c r="AX80"/>
      <c r="AY80"/>
      <c r="AZ80"/>
      <c r="BA80"/>
      <c r="BB80"/>
      <c r="BC80"/>
      <c r="BD80"/>
      <c r="BE80"/>
      <c r="BF80"/>
      <c r="BG80"/>
      <c r="BH80"/>
      <c r="BI80"/>
      <c r="BJ80"/>
    </row>
    <row r="81" spans="1:62" ht="21" customHeight="1">
      <c r="A81" s="11"/>
      <c r="B81" s="677" t="s">
        <v>169</v>
      </c>
      <c r="C81" s="677"/>
      <c r="D81"/>
      <c r="E81"/>
      <c r="F81" s="56"/>
      <c r="G81" s="56"/>
      <c r="H81"/>
      <c r="I81"/>
      <c r="J81"/>
      <c r="K81"/>
      <c r="L81"/>
      <c r="M81"/>
      <c r="N81"/>
      <c r="O81"/>
      <c r="Q81"/>
      <c r="R81"/>
      <c r="S81"/>
      <c r="T81"/>
      <c r="U81"/>
      <c r="V81"/>
      <c r="W81"/>
      <c r="X81" s="642"/>
      <c r="Y81" s="360" t="s">
        <v>20</v>
      </c>
      <c r="Z81" s="486">
        <f>SUM(Z74:Z80)</f>
        <v>-2970.5970574798412</v>
      </c>
      <c r="AA81" s="486">
        <f t="shared" ref="AA81:AD81" si="44">SUM(AA74:AA80)</f>
        <v>-12952.354833216756</v>
      </c>
      <c r="AB81" s="486">
        <f t="shared" si="44"/>
        <v>-26400.300742600622</v>
      </c>
      <c r="AC81" s="486">
        <f t="shared" si="44"/>
        <v>-37617.613471864388</v>
      </c>
      <c r="AD81" s="486">
        <f t="shared" si="44"/>
        <v>-49444.74723474565</v>
      </c>
      <c r="AE81" s="11"/>
      <c r="AF81" s="11"/>
      <c r="AG81" s="11"/>
      <c r="AH81" s="11"/>
      <c r="AP81"/>
      <c r="AQ81"/>
      <c r="AR81"/>
      <c r="AS81"/>
      <c r="AT81"/>
      <c r="AU81"/>
      <c r="AV81"/>
      <c r="AW81"/>
      <c r="AX81"/>
      <c r="AY81"/>
      <c r="AZ81"/>
      <c r="BA81"/>
      <c r="BB81"/>
      <c r="BC81"/>
      <c r="BD81"/>
      <c r="BE81"/>
      <c r="BF81"/>
      <c r="BG81"/>
      <c r="BH81"/>
      <c r="BI81"/>
      <c r="BJ81"/>
    </row>
    <row r="82" spans="1:62" ht="21" customHeight="1">
      <c r="A82" s="11"/>
      <c r="B82" s="162" t="s">
        <v>102</v>
      </c>
      <c r="C82" s="129">
        <f>E76*$C$12</f>
        <v>33093.863334571928</v>
      </c>
      <c r="D82"/>
      <c r="E82"/>
      <c r="I82"/>
      <c r="J82"/>
      <c r="K82"/>
      <c r="L82"/>
      <c r="M82"/>
      <c r="N82"/>
      <c r="O82"/>
      <c r="Q82"/>
      <c r="R82"/>
      <c r="S82"/>
      <c r="T82"/>
      <c r="U82"/>
      <c r="V82"/>
      <c r="W82"/>
      <c r="X82" s="643" t="s">
        <v>338</v>
      </c>
      <c r="Y82" s="128" t="s">
        <v>122</v>
      </c>
      <c r="Z82" s="485">
        <f>C37*C10</f>
        <v>28876.964530759229</v>
      </c>
      <c r="AA82" s="485">
        <f>Z82*(1+Dashboard!$D$16)</f>
        <v>30320.812757297193</v>
      </c>
      <c r="AB82" s="485">
        <f>AA82*(1+Dashboard!$D$16)</f>
        <v>31836.853395162056</v>
      </c>
      <c r="AC82" s="485">
        <f>AB82*(1+Dashboard!$D$16)</f>
        <v>33428.696064920157</v>
      </c>
      <c r="AD82" s="485">
        <f>AC82*(1+Dashboard!$D$16)</f>
        <v>35100.130868166169</v>
      </c>
      <c r="AE82" s="11"/>
      <c r="AF82" s="11"/>
      <c r="AG82" s="11"/>
      <c r="AH82" s="11"/>
      <c r="AP82"/>
      <c r="AQ82"/>
      <c r="AR82"/>
      <c r="AS82"/>
      <c r="AT82"/>
      <c r="AU82"/>
      <c r="AV82"/>
      <c r="AW82"/>
      <c r="AX82"/>
      <c r="AY82"/>
      <c r="AZ82"/>
      <c r="BA82"/>
      <c r="BB82"/>
      <c r="BC82"/>
      <c r="BD82"/>
      <c r="BE82"/>
      <c r="BF82"/>
      <c r="BG82"/>
      <c r="BH82"/>
      <c r="BI82"/>
      <c r="BJ82"/>
    </row>
    <row r="83" spans="1:62" ht="21" customHeight="1">
      <c r="B83" s="163" t="s">
        <v>103</v>
      </c>
      <c r="C83" s="129">
        <f t="shared" ref="C83:C85" si="45">E77*$C$12</f>
        <v>22062.575556381285</v>
      </c>
      <c r="D83"/>
      <c r="F83" s="663" t="s">
        <v>170</v>
      </c>
      <c r="G83" s="664"/>
      <c r="H83" s="664"/>
      <c r="I83" s="664"/>
      <c r="J83"/>
      <c r="K83" s="164"/>
      <c r="Q83"/>
      <c r="R83"/>
      <c r="S83"/>
      <c r="T83"/>
      <c r="U83"/>
      <c r="V83"/>
      <c r="W83"/>
      <c r="X83" s="643"/>
      <c r="Y83" s="128" t="s">
        <v>124</v>
      </c>
      <c r="Z83" s="485">
        <f t="shared" si="32"/>
        <v>0</v>
      </c>
      <c r="AA83" s="485">
        <f t="shared" si="33"/>
        <v>0</v>
      </c>
      <c r="AB83" s="485">
        <f t="shared" si="34"/>
        <v>0</v>
      </c>
      <c r="AC83" s="485">
        <f t="shared" si="35"/>
        <v>0</v>
      </c>
      <c r="AD83" s="485">
        <f t="shared" si="36"/>
        <v>0</v>
      </c>
      <c r="AE83" s="11"/>
      <c r="AF83" s="11"/>
      <c r="AG83" s="11"/>
      <c r="AH83" s="11"/>
      <c r="AP83"/>
      <c r="AQ83"/>
      <c r="AR83"/>
      <c r="AS83"/>
      <c r="AT83"/>
      <c r="AU83"/>
      <c r="AV83"/>
      <c r="AW83"/>
      <c r="AX83"/>
      <c r="AY83"/>
      <c r="AZ83"/>
      <c r="BA83"/>
      <c r="BB83"/>
      <c r="BC83"/>
      <c r="BD83"/>
      <c r="BE83"/>
      <c r="BF83"/>
      <c r="BG83"/>
      <c r="BH83"/>
      <c r="BI83"/>
      <c r="BJ83"/>
    </row>
    <row r="84" spans="1:62" ht="21" customHeight="1">
      <c r="B84" s="163" t="s">
        <v>104</v>
      </c>
      <c r="C84" s="129">
        <f t="shared" si="45"/>
        <v>27578.219445476607</v>
      </c>
      <c r="D84"/>
      <c r="E84"/>
      <c r="F84" s="659" t="s">
        <v>171</v>
      </c>
      <c r="G84" s="660"/>
      <c r="H84" s="661"/>
      <c r="I84" s="516">
        <f>Questions!C56</f>
        <v>40000</v>
      </c>
      <c r="J84"/>
      <c r="N84" s="165"/>
      <c r="O84" s="165"/>
      <c r="Q84"/>
      <c r="R84"/>
      <c r="S84"/>
      <c r="T84"/>
      <c r="U84"/>
      <c r="V84"/>
      <c r="W84"/>
      <c r="X84" s="643"/>
      <c r="Y84" s="128" t="s">
        <v>126</v>
      </c>
      <c r="Z84" s="485">
        <f>E67*C10</f>
        <v>21296.761341434936</v>
      </c>
      <c r="AA84" s="485">
        <f>Z84*(1+Dashboard!$D$16)</f>
        <v>22361.599408506685</v>
      </c>
      <c r="AB84" s="485">
        <f>AA84*(1+Dashboard!$D$16)</f>
        <v>23479.679378932022</v>
      </c>
      <c r="AC84" s="485">
        <f>AB84*(1+Dashboard!$D$16)</f>
        <v>24653.663347878624</v>
      </c>
      <c r="AD84" s="485">
        <f>AC84*(1+Dashboard!$D$16)</f>
        <v>25886.346515272558</v>
      </c>
      <c r="AE84" s="2"/>
      <c r="AF84" s="2"/>
      <c r="AG84" s="2"/>
      <c r="AH84" s="2"/>
      <c r="AP84"/>
      <c r="AQ84"/>
      <c r="AR84"/>
      <c r="AS84"/>
      <c r="AT84"/>
      <c r="AU84"/>
      <c r="AV84"/>
      <c r="AW84"/>
      <c r="AX84"/>
      <c r="AY84"/>
      <c r="AZ84"/>
      <c r="BA84"/>
      <c r="BB84"/>
      <c r="BC84"/>
      <c r="BD84"/>
      <c r="BE84"/>
      <c r="BF84"/>
      <c r="BG84"/>
      <c r="BH84"/>
      <c r="BI84"/>
      <c r="BJ84"/>
    </row>
    <row r="85" spans="1:62" ht="21" customHeight="1">
      <c r="B85" s="163" t="s">
        <v>105</v>
      </c>
      <c r="C85" s="129">
        <f t="shared" si="45"/>
        <v>8273.465833642982</v>
      </c>
      <c r="D85"/>
      <c r="E85"/>
      <c r="F85" s="659" t="s">
        <v>172</v>
      </c>
      <c r="G85" s="660"/>
      <c r="H85" s="661"/>
      <c r="I85" s="516">
        <f>Questions!C57</f>
        <v>12000</v>
      </c>
      <c r="J85"/>
      <c r="N85" s="165"/>
      <c r="O85" s="165"/>
      <c r="U85" s="165"/>
      <c r="V85" s="165"/>
      <c r="W85" s="165"/>
      <c r="X85" s="643"/>
      <c r="Y85" s="128" t="s">
        <v>128</v>
      </c>
      <c r="Z85" s="485">
        <f>F53*D67</f>
        <v>4088.978177555508</v>
      </c>
      <c r="AA85" s="485">
        <f>Z85*(1+Dashboard!$D$16)</f>
        <v>4293.4270864332839</v>
      </c>
      <c r="AB85" s="485">
        <f>AA85*(1+Dashboard!$D$16)</f>
        <v>4508.0984407549486</v>
      </c>
      <c r="AC85" s="485">
        <f>AB85*(1+Dashboard!$D$16)</f>
        <v>4733.503362792696</v>
      </c>
      <c r="AD85" s="485">
        <f>AC85*(1+Dashboard!$D$16)</f>
        <v>4970.1785309323313</v>
      </c>
      <c r="AE85" s="11"/>
      <c r="AF85" s="11"/>
      <c r="AG85" s="11"/>
      <c r="AH85" s="11"/>
      <c r="AP85"/>
      <c r="AQ85"/>
      <c r="AR85"/>
      <c r="AS85"/>
      <c r="AT85"/>
      <c r="AU85"/>
      <c r="AV85"/>
      <c r="AW85"/>
      <c r="AX85"/>
      <c r="AY85"/>
      <c r="AZ85"/>
      <c r="BA85"/>
      <c r="BB85"/>
      <c r="BC85"/>
      <c r="BD85"/>
      <c r="BE85"/>
      <c r="BF85"/>
      <c r="BG85"/>
      <c r="BH85"/>
      <c r="BI85"/>
      <c r="BJ85"/>
    </row>
    <row r="86" spans="1:62" ht="21" customHeight="1">
      <c r="B86"/>
      <c r="C86"/>
      <c r="D86"/>
      <c r="E86"/>
      <c r="F86" s="659" t="s">
        <v>173</v>
      </c>
      <c r="G86" s="660"/>
      <c r="H86" s="661"/>
      <c r="I86" s="516">
        <f>Questions!C58</f>
        <v>10000</v>
      </c>
      <c r="J86"/>
      <c r="N86" s="165"/>
      <c r="O86" s="165"/>
      <c r="P86"/>
      <c r="Q86"/>
      <c r="R86"/>
      <c r="S86"/>
      <c r="T86"/>
      <c r="U86"/>
      <c r="V86"/>
      <c r="W86" s="165"/>
      <c r="X86" s="643"/>
      <c r="Y86" s="128" t="s">
        <v>129</v>
      </c>
      <c r="Z86" s="485">
        <f>'INTERNAL SHIPMENT'!I101</f>
        <v>150354.02204303539</v>
      </c>
      <c r="AA86" s="485">
        <f>'INTERNAL SHIPMENT'!O101</f>
        <v>165419.09928543321</v>
      </c>
      <c r="AB86" s="485">
        <f>'INTERNAL SHIPMENT'!U101</f>
        <v>172041.16901090051</v>
      </c>
      <c r="AC86" s="485">
        <f>'INTERNAL SHIPMENT'!AA101</f>
        <v>174977.66712325328</v>
      </c>
      <c r="AD86" s="485">
        <f>'INTERNAL SHIPMENT'!AG101</f>
        <v>173524.48090663506</v>
      </c>
      <c r="AE86" s="11"/>
      <c r="AF86" s="11"/>
      <c r="AG86" s="11"/>
      <c r="AH86" s="11"/>
      <c r="AP86"/>
      <c r="AQ86"/>
      <c r="AR86"/>
      <c r="AS86"/>
      <c r="AT86"/>
      <c r="AU86"/>
      <c r="AV86"/>
      <c r="AW86"/>
      <c r="AX86"/>
      <c r="AY86"/>
      <c r="AZ86"/>
      <c r="BA86"/>
      <c r="BB86"/>
      <c r="BC86"/>
      <c r="BD86"/>
      <c r="BE86"/>
      <c r="BF86"/>
      <c r="BG86"/>
      <c r="BH86"/>
      <c r="BI86"/>
      <c r="BJ86"/>
    </row>
    <row r="87" spans="1:62" ht="21" customHeight="1">
      <c r="B87"/>
      <c r="C87"/>
      <c r="D87"/>
      <c r="E87"/>
      <c r="F87" s="659" t="s">
        <v>174</v>
      </c>
      <c r="G87" s="660"/>
      <c r="H87" s="661"/>
      <c r="I87" s="516">
        <f>Questions!C59</f>
        <v>5000</v>
      </c>
      <c r="J87"/>
      <c r="N87" s="165"/>
      <c r="O87" s="165"/>
      <c r="P87"/>
      <c r="Q87"/>
      <c r="R87"/>
      <c r="S87"/>
      <c r="T87"/>
      <c r="U87"/>
      <c r="V87"/>
      <c r="W87" s="165"/>
      <c r="X87" s="643"/>
      <c r="Y87" s="128" t="s">
        <v>130</v>
      </c>
      <c r="Z87" s="524">
        <f t="shared" si="32"/>
        <v>0</v>
      </c>
      <c r="AA87" s="485">
        <f t="shared" si="33"/>
        <v>0</v>
      </c>
      <c r="AB87" s="485">
        <f t="shared" si="34"/>
        <v>0</v>
      </c>
      <c r="AC87" s="485">
        <f t="shared" si="35"/>
        <v>0</v>
      </c>
      <c r="AD87" s="485">
        <f t="shared" si="36"/>
        <v>0</v>
      </c>
      <c r="AE87" s="11"/>
      <c r="AF87" s="11"/>
      <c r="AG87" s="11"/>
      <c r="AH87" s="11"/>
      <c r="AP87"/>
      <c r="AQ87"/>
      <c r="AR87"/>
      <c r="AS87"/>
      <c r="AT87"/>
      <c r="AU87"/>
      <c r="AV87"/>
      <c r="AW87"/>
      <c r="AX87"/>
      <c r="AY87"/>
      <c r="AZ87"/>
      <c r="BA87"/>
      <c r="BB87"/>
      <c r="BC87"/>
      <c r="BD87"/>
      <c r="BE87"/>
      <c r="BF87"/>
      <c r="BG87"/>
      <c r="BH87"/>
      <c r="BI87"/>
      <c r="BJ87"/>
    </row>
    <row r="88" spans="1:62" ht="21" customHeight="1">
      <c r="F88" s="6"/>
      <c r="G88" s="6"/>
      <c r="H88" s="6"/>
      <c r="I88" s="6"/>
      <c r="J88" s="6"/>
      <c r="L88" s="166"/>
      <c r="M88" s="2"/>
      <c r="N88" s="11"/>
      <c r="O88" s="11"/>
      <c r="P88"/>
      <c r="Q88"/>
      <c r="R88"/>
      <c r="S88"/>
      <c r="T88"/>
      <c r="U88"/>
      <c r="V88"/>
      <c r="W88" s="11"/>
      <c r="X88" s="643"/>
      <c r="Y88" s="128" t="s">
        <v>131</v>
      </c>
      <c r="Z88" s="524">
        <f t="shared" si="32"/>
        <v>0</v>
      </c>
      <c r="AA88" s="485">
        <f t="shared" si="33"/>
        <v>0</v>
      </c>
      <c r="AB88" s="485">
        <f t="shared" si="34"/>
        <v>0</v>
      </c>
      <c r="AC88" s="485">
        <f t="shared" si="35"/>
        <v>0</v>
      </c>
      <c r="AD88" s="485">
        <f t="shared" si="36"/>
        <v>0</v>
      </c>
      <c r="AE88" s="11"/>
      <c r="AF88" s="11"/>
      <c r="AG88" s="11"/>
      <c r="AH88" s="11"/>
      <c r="AP88"/>
      <c r="AQ88"/>
      <c r="AR88"/>
      <c r="AS88"/>
      <c r="AT88"/>
      <c r="AU88"/>
      <c r="AV88"/>
      <c r="AW88"/>
      <c r="AX88"/>
      <c r="AY88"/>
      <c r="AZ88"/>
      <c r="BA88"/>
      <c r="BB88"/>
      <c r="BC88"/>
      <c r="BD88"/>
      <c r="BE88"/>
      <c r="BF88"/>
      <c r="BG88"/>
      <c r="BH88"/>
      <c r="BI88"/>
      <c r="BJ88"/>
    </row>
    <row r="89" spans="1:62" ht="21" customHeight="1">
      <c r="F89" s="651" t="s">
        <v>175</v>
      </c>
      <c r="G89" s="651"/>
      <c r="H89" s="651"/>
      <c r="I89" s="651"/>
      <c r="J89" s="651"/>
      <c r="K89" s="651"/>
      <c r="L89" s="651"/>
      <c r="M89" s="651"/>
      <c r="P89"/>
      <c r="Q89"/>
      <c r="R89"/>
      <c r="S89"/>
      <c r="T89"/>
      <c r="U89"/>
      <c r="V89"/>
      <c r="W89" s="11"/>
      <c r="X89" s="643"/>
      <c r="Y89" s="360" t="s">
        <v>20</v>
      </c>
      <c r="Z89" s="486">
        <f>SUM(Z82:Z88)</f>
        <v>204616.72609278507</v>
      </c>
      <c r="AA89" s="486">
        <f t="shared" ref="AA89:AD89" si="46">SUM(AA82:AA88)</f>
        <v>222394.93853767039</v>
      </c>
      <c r="AB89" s="486">
        <f t="shared" si="46"/>
        <v>231865.80022574955</v>
      </c>
      <c r="AC89" s="486">
        <f t="shared" si="46"/>
        <v>237793.52989884478</v>
      </c>
      <c r="AD89" s="486">
        <f t="shared" si="46"/>
        <v>239481.13682100613</v>
      </c>
      <c r="AE89" s="11"/>
      <c r="AF89" s="11"/>
      <c r="AG89" s="11"/>
      <c r="AH89" s="11"/>
      <c r="AP89"/>
      <c r="AQ89"/>
      <c r="AR89"/>
      <c r="AS89"/>
      <c r="AT89"/>
      <c r="AU89"/>
      <c r="AV89"/>
      <c r="AW89"/>
      <c r="AX89"/>
      <c r="AY89"/>
      <c r="AZ89"/>
      <c r="BA89"/>
      <c r="BB89"/>
      <c r="BC89"/>
      <c r="BD89"/>
      <c r="BE89"/>
      <c r="BF89"/>
      <c r="BG89"/>
      <c r="BH89"/>
      <c r="BI89"/>
      <c r="BJ89"/>
    </row>
    <row r="90" spans="1:62" ht="21" customHeight="1">
      <c r="F90" s="652" t="s">
        <v>93</v>
      </c>
      <c r="G90" s="652"/>
      <c r="H90" s="652"/>
      <c r="I90" s="649" t="s">
        <v>11</v>
      </c>
      <c r="J90" s="649" t="s">
        <v>12</v>
      </c>
      <c r="K90" s="649" t="s">
        <v>13</v>
      </c>
      <c r="L90" s="649" t="s">
        <v>14</v>
      </c>
      <c r="M90" s="649" t="s">
        <v>15</v>
      </c>
      <c r="P90"/>
      <c r="Q90"/>
      <c r="R90"/>
      <c r="S90"/>
      <c r="T90"/>
      <c r="U90"/>
      <c r="V90"/>
      <c r="W90" s="11"/>
      <c r="X90" s="644" t="s">
        <v>339</v>
      </c>
      <c r="Y90" s="128" t="s">
        <v>122</v>
      </c>
      <c r="Z90" s="485">
        <f>C38*C10</f>
        <v>2271.577546731839</v>
      </c>
      <c r="AA90" s="485">
        <f>Z90*(1+Dashboard!$D$16)</f>
        <v>2385.1564240684311</v>
      </c>
      <c r="AB90" s="485">
        <f>AA90*(1+Dashboard!$D$16)</f>
        <v>2504.4142452718529</v>
      </c>
      <c r="AC90" s="485">
        <f>AB90*(1+Dashboard!$D$16)</f>
        <v>2629.6349575354457</v>
      </c>
      <c r="AD90" s="485">
        <f>AC90*(1+Dashboard!$D$16)</f>
        <v>2761.1167054122179</v>
      </c>
      <c r="AE90" s="11"/>
      <c r="AF90" s="11"/>
      <c r="AG90" s="11"/>
      <c r="AH90" s="11"/>
      <c r="AP90"/>
      <c r="AQ90"/>
      <c r="AR90"/>
      <c r="AS90"/>
      <c r="AT90"/>
      <c r="AU90"/>
      <c r="AV90"/>
      <c r="AW90"/>
      <c r="AX90"/>
      <c r="AY90"/>
      <c r="AZ90"/>
      <c r="BA90"/>
      <c r="BB90"/>
      <c r="BC90"/>
      <c r="BD90"/>
      <c r="BE90"/>
      <c r="BF90"/>
      <c r="BG90"/>
      <c r="BH90"/>
      <c r="BI90"/>
      <c r="BJ90"/>
    </row>
    <row r="91" spans="1:62" ht="21" customHeight="1">
      <c r="F91" s="653" t="s">
        <v>176</v>
      </c>
      <c r="G91" s="653"/>
      <c r="H91" s="653"/>
      <c r="I91" s="650"/>
      <c r="J91" s="650"/>
      <c r="K91" s="650"/>
      <c r="L91" s="650"/>
      <c r="M91" s="650"/>
      <c r="P91"/>
      <c r="Q91"/>
      <c r="R91"/>
      <c r="S91"/>
      <c r="T91"/>
      <c r="U91"/>
      <c r="V91"/>
      <c r="W91" s="11"/>
      <c r="X91" s="644"/>
      <c r="Y91" s="128" t="s">
        <v>124</v>
      </c>
      <c r="Z91" s="485">
        <f t="shared" si="32"/>
        <v>0</v>
      </c>
      <c r="AA91" s="485">
        <f t="shared" si="33"/>
        <v>0</v>
      </c>
      <c r="AB91" s="485">
        <f t="shared" si="34"/>
        <v>0</v>
      </c>
      <c r="AC91" s="485">
        <f t="shared" si="35"/>
        <v>0</v>
      </c>
      <c r="AD91" s="485">
        <f t="shared" si="36"/>
        <v>0</v>
      </c>
      <c r="AE91" s="11"/>
      <c r="AF91" s="11"/>
      <c r="AG91" s="11"/>
      <c r="AP91"/>
      <c r="AQ91"/>
      <c r="AR91"/>
      <c r="AS91"/>
      <c r="AT91"/>
      <c r="AU91"/>
      <c r="AV91"/>
      <c r="AW91"/>
      <c r="AX91"/>
      <c r="AY91"/>
      <c r="AZ91"/>
      <c r="BA91"/>
      <c r="BB91"/>
      <c r="BC91"/>
      <c r="BD91"/>
      <c r="BE91"/>
      <c r="BF91"/>
      <c r="BG91"/>
      <c r="BH91"/>
      <c r="BI91"/>
      <c r="BJ91"/>
    </row>
    <row r="92" spans="1:62" ht="38.25" customHeight="1">
      <c r="F92" s="662" t="s">
        <v>177</v>
      </c>
      <c r="G92" s="662"/>
      <c r="H92" s="517">
        <f>Questions!C53</f>
        <v>4</v>
      </c>
      <c r="I92" s="494">
        <f>I84*H92</f>
        <v>160000</v>
      </c>
      <c r="J92" s="495">
        <f>I92*(1+Dashboard!$D$16)</f>
        <v>168000</v>
      </c>
      <c r="K92" s="495">
        <f>J92*(1+Dashboard!$D$16)</f>
        <v>176400</v>
      </c>
      <c r="L92" s="495">
        <f>K92*(1+Dashboard!$D$16)</f>
        <v>185220</v>
      </c>
      <c r="M92" s="495">
        <f>L92*(1+Dashboard!$D$16)</f>
        <v>194481</v>
      </c>
      <c r="P92"/>
      <c r="Q92"/>
      <c r="R92"/>
      <c r="S92"/>
      <c r="T92"/>
      <c r="U92"/>
      <c r="V92"/>
      <c r="W92" s="11"/>
      <c r="X92" s="644"/>
      <c r="Y92" s="128" t="s">
        <v>126</v>
      </c>
      <c r="Z92" s="485">
        <f>E64*C10</f>
        <v>1675.2884407147315</v>
      </c>
      <c r="AA92" s="485">
        <f>Z92*(1+Dashboard!$D$16)</f>
        <v>1759.0528627504682</v>
      </c>
      <c r="AB92" s="485">
        <f>AA92*(1+Dashboard!$D$16)</f>
        <v>1847.0055058879916</v>
      </c>
      <c r="AC92" s="485">
        <f>AB92*(1+Dashboard!$D$16)</f>
        <v>1939.3557811823912</v>
      </c>
      <c r="AD92" s="485">
        <f>AC92*(1+Dashboard!$D$16)</f>
        <v>2036.3235702415109</v>
      </c>
      <c r="AE92" s="11"/>
      <c r="AF92" s="11"/>
      <c r="AG92" s="11"/>
      <c r="AP92"/>
      <c r="AQ92"/>
      <c r="AR92"/>
      <c r="AS92"/>
      <c r="AT92"/>
      <c r="AU92"/>
      <c r="AV92"/>
      <c r="AW92"/>
      <c r="AX92"/>
      <c r="AY92"/>
      <c r="AZ92"/>
      <c r="BA92"/>
      <c r="BB92"/>
      <c r="BC92"/>
      <c r="BD92"/>
      <c r="BE92"/>
      <c r="BF92"/>
      <c r="BG92"/>
      <c r="BH92"/>
      <c r="BI92"/>
      <c r="BJ92"/>
    </row>
    <row r="93" spans="1:62" ht="21" customHeight="1">
      <c r="F93" s="657" t="s">
        <v>178</v>
      </c>
      <c r="G93" s="657"/>
      <c r="H93" s="657"/>
      <c r="I93" s="494">
        <f>I85</f>
        <v>12000</v>
      </c>
      <c r="J93" s="495">
        <f>I93*(1+Dashboard!$D$16)</f>
        <v>12600</v>
      </c>
      <c r="K93" s="495">
        <f>J93*(1+Dashboard!$D$16)</f>
        <v>13230</v>
      </c>
      <c r="L93" s="495">
        <f>K93*(1+Dashboard!$D$16)</f>
        <v>13891.5</v>
      </c>
      <c r="M93" s="495">
        <f>L93*(1+Dashboard!$D$16)</f>
        <v>14586.075000000001</v>
      </c>
      <c r="N93" s="11"/>
      <c r="O93" s="11"/>
      <c r="P93"/>
      <c r="Q93"/>
      <c r="R93"/>
      <c r="S93"/>
      <c r="T93"/>
      <c r="U93"/>
      <c r="V93"/>
      <c r="W93" s="11"/>
      <c r="X93" s="644"/>
      <c r="Y93" s="128" t="s">
        <v>128</v>
      </c>
      <c r="Z93" s="485">
        <f>D64*F54</f>
        <v>321.65538061722845</v>
      </c>
      <c r="AA93" s="485">
        <f>Z93*(1+Dashboard!$D$16)</f>
        <v>337.73814964808986</v>
      </c>
      <c r="AB93" s="485">
        <f>AA93*(1+Dashboard!$D$16)</f>
        <v>354.62505713049438</v>
      </c>
      <c r="AC93" s="485">
        <f>AB93*(1+Dashboard!$D$16)</f>
        <v>372.35630998701913</v>
      </c>
      <c r="AD93" s="485">
        <f>AC93*(1+Dashboard!$D$16)</f>
        <v>390.9741254863701</v>
      </c>
      <c r="AE93" s="11"/>
      <c r="AF93" s="11"/>
      <c r="AG93" s="11"/>
      <c r="AP93"/>
      <c r="AQ93"/>
      <c r="AR93"/>
      <c r="AS93"/>
      <c r="AT93"/>
      <c r="AU93"/>
      <c r="AV93"/>
      <c r="AW93"/>
      <c r="AX93"/>
      <c r="AY93"/>
      <c r="AZ93"/>
      <c r="BA93"/>
      <c r="BB93"/>
      <c r="BC93"/>
      <c r="BD93"/>
      <c r="BE93"/>
      <c r="BF93"/>
      <c r="BG93"/>
      <c r="BH93"/>
      <c r="BI93"/>
      <c r="BJ93"/>
    </row>
    <row r="94" spans="1:62" ht="21" customHeight="1">
      <c r="F94" s="5" t="s">
        <v>179</v>
      </c>
      <c r="G94" s="5"/>
      <c r="H94" s="5"/>
      <c r="I94" s="496"/>
      <c r="J94" s="497"/>
      <c r="K94" s="497"/>
      <c r="L94" s="497"/>
      <c r="M94" s="497"/>
      <c r="X94" s="644"/>
      <c r="Y94" s="128" t="s">
        <v>129</v>
      </c>
      <c r="Z94" s="485">
        <f>'INTERNAL SHIPMENT'!I104</f>
        <v>11827.448836250778</v>
      </c>
      <c r="AA94" s="485">
        <f>'INTERNAL SHIPMENT'!O104</f>
        <v>13012.52807708163</v>
      </c>
      <c r="AB94" s="485">
        <f>'INTERNAL SHIPMENT'!U104</f>
        <v>13533.446572003115</v>
      </c>
      <c r="AC94" s="485">
        <f>'INTERNAL SHIPMENT'!AA104</f>
        <v>13764.443260416663</v>
      </c>
      <c r="AD94" s="485">
        <f>'INTERNAL SHIPMENT'!AG104</f>
        <v>13650.129819425532</v>
      </c>
      <c r="AE94" s="11"/>
      <c r="AF94" s="11"/>
      <c r="AG94" s="11"/>
      <c r="AP94" s="11"/>
      <c r="AQ94" s="19"/>
      <c r="AX94"/>
      <c r="AY94"/>
      <c r="AZ94"/>
      <c r="BA94"/>
      <c r="BB94"/>
      <c r="BC94"/>
      <c r="BD94"/>
      <c r="BE94"/>
      <c r="BF94"/>
      <c r="BG94"/>
      <c r="BH94"/>
      <c r="BI94"/>
      <c r="BJ94"/>
    </row>
    <row r="95" spans="1:62" ht="21" customHeight="1">
      <c r="F95" s="658" t="s">
        <v>173</v>
      </c>
      <c r="G95" s="658"/>
      <c r="H95" s="658"/>
      <c r="I95" s="494">
        <f>I86</f>
        <v>10000</v>
      </c>
      <c r="J95" s="495">
        <f>I95*(1+Dashboard!$D$16)</f>
        <v>10500</v>
      </c>
      <c r="K95" s="495">
        <f>J95*(1+Dashboard!$D$16)</f>
        <v>11025</v>
      </c>
      <c r="L95" s="495">
        <f>K95*(1+Dashboard!$D$16)</f>
        <v>11576.25</v>
      </c>
      <c r="M95" s="495">
        <f>L95*(1+Dashboard!$D$16)</f>
        <v>12155.0625</v>
      </c>
      <c r="X95" s="644"/>
      <c r="Y95" s="128" t="s">
        <v>130</v>
      </c>
      <c r="Z95" s="524">
        <f t="shared" si="32"/>
        <v>0</v>
      </c>
      <c r="AA95" s="485">
        <f t="shared" si="33"/>
        <v>0</v>
      </c>
      <c r="AB95" s="485">
        <f t="shared" si="34"/>
        <v>0</v>
      </c>
      <c r="AC95" s="485">
        <f t="shared" si="35"/>
        <v>0</v>
      </c>
      <c r="AD95" s="485">
        <f t="shared" si="36"/>
        <v>0</v>
      </c>
      <c r="AE95" s="11"/>
      <c r="AF95" s="11"/>
      <c r="AG95" s="11"/>
      <c r="AP95" s="11"/>
      <c r="AQ95" s="19"/>
      <c r="AX95"/>
      <c r="AY95"/>
      <c r="AZ95"/>
      <c r="BA95"/>
      <c r="BB95"/>
      <c r="BC95"/>
      <c r="BD95"/>
      <c r="BE95"/>
      <c r="BF95"/>
      <c r="BG95"/>
      <c r="BH95"/>
      <c r="BI95"/>
      <c r="BJ95"/>
    </row>
    <row r="96" spans="1:62" ht="21" customHeight="1">
      <c r="F96" s="5" t="s">
        <v>180</v>
      </c>
      <c r="G96" s="5"/>
      <c r="H96" s="5"/>
      <c r="I96" s="496"/>
      <c r="J96" s="497"/>
      <c r="K96" s="497"/>
      <c r="L96" s="497"/>
      <c r="M96" s="497"/>
      <c r="X96" s="644"/>
      <c r="Y96" s="128" t="s">
        <v>131</v>
      </c>
      <c r="Z96" s="524">
        <f t="shared" si="32"/>
        <v>0</v>
      </c>
      <c r="AA96" s="485">
        <f t="shared" si="33"/>
        <v>0</v>
      </c>
      <c r="AB96" s="485">
        <f t="shared" si="34"/>
        <v>0</v>
      </c>
      <c r="AC96" s="485">
        <f t="shared" si="35"/>
        <v>0</v>
      </c>
      <c r="AD96" s="485">
        <f t="shared" si="36"/>
        <v>0</v>
      </c>
      <c r="AE96" s="11"/>
      <c r="AF96" s="11"/>
      <c r="AG96" s="11"/>
      <c r="AP96" s="11"/>
      <c r="AQ96" s="19"/>
      <c r="AX96"/>
      <c r="AY96"/>
      <c r="AZ96"/>
      <c r="BA96"/>
      <c r="BB96"/>
      <c r="BC96"/>
      <c r="BD96"/>
      <c r="BE96"/>
      <c r="BF96"/>
      <c r="BG96"/>
      <c r="BH96"/>
      <c r="BI96"/>
      <c r="BJ96"/>
    </row>
    <row r="97" spans="1:62" ht="21" customHeight="1">
      <c r="F97" s="658" t="s">
        <v>174</v>
      </c>
      <c r="G97" s="658"/>
      <c r="H97" s="658"/>
      <c r="I97" s="494">
        <f>I87</f>
        <v>5000</v>
      </c>
      <c r="J97" s="495">
        <f>I97*(1+Dashboard!$D$16)</f>
        <v>5250</v>
      </c>
      <c r="K97" s="495">
        <f>J97*(1+Dashboard!$D$16)</f>
        <v>5512.5</v>
      </c>
      <c r="L97" s="495">
        <f>K97*(1+Dashboard!$D$16)</f>
        <v>5788.125</v>
      </c>
      <c r="M97" s="495">
        <f>L97*(1+Dashboard!$D$16)</f>
        <v>6077.53125</v>
      </c>
      <c r="X97" s="644"/>
      <c r="Y97" s="360" t="s">
        <v>20</v>
      </c>
      <c r="Z97" s="486">
        <f>SUM(Z90:Z96)</f>
        <v>16095.970204314577</v>
      </c>
      <c r="AA97" s="486">
        <f t="shared" ref="AA97:AD97" si="47">SUM(AA90:AA96)</f>
        <v>17494.475513548619</v>
      </c>
      <c r="AB97" s="486">
        <f t="shared" si="47"/>
        <v>18239.491380293453</v>
      </c>
      <c r="AC97" s="486">
        <f t="shared" si="47"/>
        <v>18705.790309121519</v>
      </c>
      <c r="AD97" s="486">
        <f t="shared" si="47"/>
        <v>18838.544220565633</v>
      </c>
      <c r="AE97" s="11"/>
      <c r="AF97" s="11"/>
      <c r="AG97" s="11"/>
      <c r="AP97" s="11"/>
      <c r="AQ97" s="19"/>
      <c r="AX97"/>
      <c r="AY97"/>
      <c r="AZ97"/>
      <c r="BA97"/>
      <c r="BB97"/>
      <c r="BC97"/>
      <c r="BD97"/>
      <c r="BE97"/>
      <c r="BF97"/>
      <c r="BG97"/>
      <c r="BH97"/>
      <c r="BI97"/>
      <c r="BJ97"/>
    </row>
    <row r="98" spans="1:62" ht="45">
      <c r="F98" s="498" t="s">
        <v>181</v>
      </c>
      <c r="G98" s="498"/>
      <c r="H98" s="498"/>
      <c r="I98" s="499">
        <f>SUM(I91:I97)</f>
        <v>187000</v>
      </c>
      <c r="J98" s="500">
        <f>SUM(J91:J97)</f>
        <v>196350</v>
      </c>
      <c r="K98" s="500">
        <f>SUM(K91:K97)</f>
        <v>206167.5</v>
      </c>
      <c r="L98" s="500">
        <f>SUM(L91:L97)</f>
        <v>216475.875</v>
      </c>
      <c r="M98" s="500">
        <f>SUM(M91:M97)</f>
        <v>227299.66875000001</v>
      </c>
      <c r="X98" s="487"/>
      <c r="Y98" s="488" t="s">
        <v>149</v>
      </c>
      <c r="Z98" s="485">
        <f>'EXTERNAL INCOMES'!C18</f>
        <v>1219474.4615550372</v>
      </c>
      <c r="AA98" s="485">
        <f>'EXTERNAL INCOMES'!D18</f>
        <v>1317032.41847944</v>
      </c>
      <c r="AB98" s="485">
        <f>'EXTERNAL INCOMES'!E18</f>
        <v>1329412.523213147</v>
      </c>
      <c r="AC98" s="485">
        <f>'EXTERNAL INCOMES'!F18</f>
        <v>1315852.515476373</v>
      </c>
      <c r="AD98" s="485">
        <f>'EXTERNAL INCOMES'!G18</f>
        <v>1266376.460894461</v>
      </c>
      <c r="AE98" s="11"/>
      <c r="AF98" s="11"/>
      <c r="AG98" s="11"/>
      <c r="AP98" s="11"/>
      <c r="AQ98" s="19"/>
      <c r="AX98"/>
      <c r="AY98"/>
      <c r="AZ98"/>
      <c r="BA98"/>
      <c r="BB98"/>
      <c r="BC98"/>
      <c r="BD98"/>
      <c r="BE98"/>
      <c r="BF98"/>
      <c r="BG98"/>
      <c r="BH98"/>
      <c r="BI98"/>
      <c r="BJ98"/>
    </row>
    <row r="99" spans="1:62" ht="21" customHeight="1">
      <c r="A99" s="11"/>
      <c r="B99" s="11"/>
      <c r="C99" s="11"/>
      <c r="D99" s="11"/>
      <c r="E99" s="11"/>
      <c r="F99" s="11"/>
      <c r="G99" s="11"/>
      <c r="H99" s="11"/>
      <c r="I99" s="11"/>
      <c r="X99" s="487"/>
      <c r="Y99" s="488" t="s">
        <v>150</v>
      </c>
      <c r="Z99" s="485">
        <f>'EXTERNAL INCOMES'!C25</f>
        <v>-122287.73037843898</v>
      </c>
      <c r="AA99" s="485">
        <f>'EXTERNAL INCOMES'!D25</f>
        <v>-142636.40871341119</v>
      </c>
      <c r="AB99" s="485">
        <f>'EXTERNAL INCOMES'!E25</f>
        <v>-161607.05107229491</v>
      </c>
      <c r="AC99" s="485">
        <f>'EXTERNAL INCOMES'!F25</f>
        <v>-176280.97130965936</v>
      </c>
      <c r="AD99" s="485">
        <f>'EXTERNAL INCOMES'!G25</f>
        <v>-189092.19089958881</v>
      </c>
      <c r="AE99" s="11"/>
      <c r="AF99" s="11"/>
      <c r="AG99" s="11"/>
      <c r="AP99" s="11"/>
      <c r="AQ99" s="19"/>
      <c r="AX99"/>
      <c r="AY99"/>
      <c r="AZ99"/>
      <c r="BA99"/>
      <c r="BB99"/>
      <c r="BC99"/>
      <c r="BD99"/>
      <c r="BE99"/>
      <c r="BF99"/>
      <c r="BG99"/>
      <c r="BH99"/>
      <c r="BI99"/>
      <c r="BJ99"/>
    </row>
    <row r="100" spans="1:62" ht="21" customHeight="1">
      <c r="A100" s="11"/>
      <c r="B100" s="11"/>
      <c r="C100" s="11"/>
      <c r="D100" s="11"/>
      <c r="E100" s="11"/>
      <c r="F100" s="11"/>
      <c r="G100" s="11"/>
      <c r="H100" s="11"/>
      <c r="I100" s="11"/>
      <c r="X100" s="487"/>
      <c r="Y100" s="383" t="s">
        <v>151</v>
      </c>
      <c r="Z100" s="489">
        <f>Z17+Z25+Z33+Z41+Z49+Z57+Z65+Z73+Z81+Z89+Z97-Z98-Z99-Z12-Z13-Z20-Z21-Z28-Z29-Z36-Z37-Z44-Z45-Z52-Z53-Z60-Z61-Z68-Z69-Z76-Z77-Z84-Z85-Z92-Z93</f>
        <v>1426331.3564716573</v>
      </c>
      <c r="AA100" s="489">
        <f t="shared" ref="AA100:AD100" si="48">AA17+AA25+AA33+AA41+AA49+AA57+AA65+AA73+AA81+AA89+AA97-AA98-AA99-AA12-AA13-AA20-AA21-AA28-AA29-AA36-AA37-AA44-AA45-AA52-AA53-AA60-AA61-AA68-AA69-AA76-AA77-AA84-AA85-AA92-AA93</f>
        <v>1524502.0818805327</v>
      </c>
      <c r="AB100" s="489">
        <f t="shared" si="48"/>
        <v>1640339.2329583229</v>
      </c>
      <c r="AC100" s="489">
        <f t="shared" si="48"/>
        <v>1754765.7708358304</v>
      </c>
      <c r="AD100" s="489">
        <f t="shared" si="48"/>
        <v>1872020.7020784644</v>
      </c>
      <c r="AE100" s="11"/>
      <c r="AF100" s="11"/>
      <c r="AG100" s="11"/>
      <c r="AP100" s="11"/>
      <c r="AQ100" s="19"/>
      <c r="AX100"/>
      <c r="AY100"/>
      <c r="AZ100"/>
      <c r="BA100"/>
      <c r="BB100"/>
      <c r="BC100"/>
      <c r="BD100"/>
      <c r="BE100"/>
      <c r="BF100"/>
      <c r="BG100"/>
      <c r="BH100"/>
      <c r="BI100"/>
      <c r="BJ100"/>
    </row>
    <row r="101" spans="1:62" ht="21" customHeight="1">
      <c r="A101" s="11"/>
      <c r="B101" s="11"/>
      <c r="C101" s="11"/>
      <c r="D101" s="11"/>
      <c r="E101" s="11"/>
      <c r="F101" s="11"/>
      <c r="G101" s="11"/>
      <c r="H101" s="11"/>
      <c r="I101" s="11"/>
      <c r="X101" s="487"/>
      <c r="Y101" s="490" t="s">
        <v>152</v>
      </c>
      <c r="Z101" s="489">
        <f>I98+Z12+Z13+Z20+Z21+Z28+Z29+Z36+Z37+Z44+Z45+Z52+Z53+Z60+Z61+Z68+Z69+Z76+Z77+Z84+Z85+Z92+Z93</f>
        <v>592657.39368946035</v>
      </c>
      <c r="AA101" s="489">
        <f t="shared" ref="AA101:AD101" si="49">J98+AA12+AA13+AA20+AA21+AA28+AA29+AA36+AA37+AA44+AA45+AA52+AA53+AA60+AA61+AA68+AA69+AA76+AA77+AA84+AA85+AA92+AA93</f>
        <v>622290.26337393327</v>
      </c>
      <c r="AB101" s="489">
        <f t="shared" si="49"/>
        <v>653404.77654263016</v>
      </c>
      <c r="AC101" s="489">
        <f t="shared" si="49"/>
        <v>686075.01536976174</v>
      </c>
      <c r="AD101" s="489">
        <f t="shared" si="49"/>
        <v>720378.76613824966</v>
      </c>
      <c r="AE101" s="11"/>
      <c r="AF101" s="11"/>
      <c r="AG101" s="11"/>
      <c r="AP101" s="11"/>
      <c r="AQ101" s="19"/>
      <c r="AX101"/>
      <c r="AY101"/>
      <c r="AZ101"/>
      <c r="BA101"/>
      <c r="BB101"/>
      <c r="BC101"/>
      <c r="BD101"/>
      <c r="BE101"/>
      <c r="BF101"/>
      <c r="BG101"/>
      <c r="BH101"/>
      <c r="BI101"/>
      <c r="BJ101"/>
    </row>
    <row r="102" spans="1:62" ht="21" customHeight="1">
      <c r="A102" s="11"/>
      <c r="B102" s="11"/>
      <c r="C102" s="11"/>
      <c r="D102" s="11"/>
      <c r="E102" s="11"/>
      <c r="F102" s="11"/>
      <c r="G102" s="11"/>
      <c r="H102" s="11"/>
      <c r="I102" s="11"/>
      <c r="X102" s="487"/>
      <c r="Y102" s="145" t="s">
        <v>20</v>
      </c>
      <c r="Z102" s="146">
        <f>SUM(Z100:Z101)</f>
        <v>2018988.7501611176</v>
      </c>
      <c r="AA102" s="146">
        <f t="shared" ref="AA102" si="50">SUM(AA100:AA101)</f>
        <v>2146792.3452544659</v>
      </c>
      <c r="AB102" s="146">
        <f t="shared" ref="AB102" si="51">SUM(AB100:AB101)</f>
        <v>2293744.0095009529</v>
      </c>
      <c r="AC102" s="146">
        <f t="shared" ref="AC102" si="52">SUM(AC100:AC101)</f>
        <v>2440840.7862055921</v>
      </c>
      <c r="AD102" s="146">
        <f t="shared" ref="AD102" si="53">SUM(AD100:AD101)</f>
        <v>2592399.468216714</v>
      </c>
      <c r="AE102" s="11"/>
      <c r="AF102" s="11"/>
      <c r="AG102" s="11"/>
      <c r="AP102" s="11"/>
      <c r="AQ102" s="19"/>
      <c r="AX102"/>
      <c r="AY102"/>
      <c r="AZ102"/>
      <c r="BA102"/>
      <c r="BB102"/>
      <c r="BC102"/>
      <c r="BD102"/>
      <c r="BE102"/>
      <c r="BF102"/>
      <c r="BG102"/>
      <c r="BH102"/>
      <c r="BI102"/>
      <c r="BJ102"/>
    </row>
    <row r="103" spans="1:62" ht="21" customHeight="1">
      <c r="A103" s="11"/>
      <c r="B103" s="11"/>
      <c r="C103" s="11"/>
      <c r="D103" s="11"/>
      <c r="E103" s="11"/>
      <c r="F103" s="11"/>
      <c r="G103" s="11"/>
      <c r="H103" s="11"/>
      <c r="I103" s="11"/>
      <c r="X103"/>
      <c r="Y103"/>
      <c r="Z103"/>
      <c r="AA103"/>
      <c r="AB103"/>
      <c r="AC103"/>
      <c r="AD103"/>
      <c r="AE103"/>
      <c r="AF103" s="11"/>
      <c r="AG103" s="11"/>
      <c r="AP103" s="11"/>
      <c r="AQ103" s="19"/>
      <c r="AX103" s="3"/>
      <c r="AY103" s="3"/>
      <c r="AZ103" s="3"/>
      <c r="BA103" s="3"/>
      <c r="BB103" s="3"/>
      <c r="BC103" s="3"/>
      <c r="BD103" s="3"/>
      <c r="BE103" s="3"/>
      <c r="BF103" s="3"/>
      <c r="BG103" s="3"/>
      <c r="BH103" s="3"/>
      <c r="BI103" s="3"/>
    </row>
    <row r="104" spans="1:62" ht="21" customHeight="1">
      <c r="A104" s="11"/>
      <c r="B104" s="11"/>
      <c r="C104" s="11"/>
      <c r="D104" s="11"/>
      <c r="E104" s="11"/>
      <c r="F104" s="11"/>
      <c r="G104" s="11"/>
      <c r="H104" s="11"/>
      <c r="I104" s="11"/>
      <c r="X104"/>
      <c r="Y104"/>
      <c r="Z104"/>
      <c r="AA104"/>
      <c r="AB104"/>
      <c r="AC104"/>
      <c r="AD104"/>
      <c r="AE104"/>
      <c r="AF104" s="11"/>
      <c r="AG104" s="11"/>
      <c r="AP104" s="11"/>
      <c r="AQ104" s="19"/>
      <c r="AX104" s="3"/>
      <c r="AY104" s="3"/>
      <c r="AZ104" s="3"/>
      <c r="BA104" s="3"/>
      <c r="BB104" s="3"/>
      <c r="BC104" s="3"/>
      <c r="BD104" s="3"/>
      <c r="BE104" s="3"/>
      <c r="BF104" s="3"/>
      <c r="BG104" s="3"/>
      <c r="BH104" s="3"/>
      <c r="BI104" s="3"/>
    </row>
    <row r="105" spans="1:62" ht="21" customHeight="1">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c r="Y105"/>
      <c r="Z105"/>
      <c r="AA105"/>
      <c r="AB105"/>
      <c r="AC105"/>
      <c r="AD105"/>
      <c r="AE105"/>
      <c r="AF105" s="11"/>
      <c r="AG105" s="11"/>
      <c r="AP105" s="11"/>
      <c r="AQ105" s="19"/>
      <c r="AX105" s="3"/>
      <c r="AY105" s="3"/>
      <c r="AZ105" s="3"/>
      <c r="BA105" s="3"/>
      <c r="BB105" s="3"/>
      <c r="BC105" s="3"/>
      <c r="BD105" s="3"/>
      <c r="BE105" s="3"/>
      <c r="BF105" s="3"/>
      <c r="BG105" s="3"/>
      <c r="BH105" s="3"/>
      <c r="BI105" s="3"/>
    </row>
    <row r="106" spans="1:62" ht="21" customHeight="1">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c r="Y106"/>
      <c r="Z106"/>
      <c r="AA106"/>
      <c r="AB106"/>
      <c r="AC106"/>
      <c r="AD106"/>
      <c r="AE106"/>
      <c r="AF106" s="11"/>
      <c r="AG106" s="11"/>
      <c r="AP106" s="11"/>
      <c r="AQ106" s="19"/>
      <c r="AX106" s="3"/>
      <c r="AY106" s="3"/>
      <c r="AZ106" s="3"/>
      <c r="BA106" s="3"/>
      <c r="BB106" s="3"/>
      <c r="BC106" s="3"/>
      <c r="BD106" s="3"/>
      <c r="BE106" s="3"/>
      <c r="BF106" s="3"/>
      <c r="BG106" s="3"/>
      <c r="BH106" s="3"/>
      <c r="BI106" s="3"/>
    </row>
    <row r="107" spans="1:62" ht="21" customHeight="1">
      <c r="A107" s="11"/>
      <c r="B107" s="11"/>
      <c r="C107" s="11"/>
      <c r="D107" s="11"/>
      <c r="E107" s="11"/>
      <c r="F107" s="11"/>
      <c r="G107" s="11"/>
      <c r="H107" s="11"/>
      <c r="I107" s="11"/>
      <c r="J107" s="11"/>
      <c r="K107" s="11"/>
      <c r="L107" s="11"/>
      <c r="M107" s="11"/>
      <c r="N107" s="11"/>
      <c r="O107" s="11"/>
      <c r="P107" s="11"/>
      <c r="Q107" s="11"/>
      <c r="R107" s="11"/>
      <c r="S107" s="11"/>
      <c r="X107"/>
      <c r="Y107"/>
      <c r="Z107"/>
      <c r="AA107"/>
      <c r="AB107"/>
      <c r="AC107"/>
      <c r="AD107"/>
      <c r="AE107"/>
      <c r="AP107" s="11"/>
      <c r="AQ107" s="19"/>
      <c r="AX107" s="3"/>
      <c r="AY107" s="3"/>
      <c r="AZ107" s="3"/>
      <c r="BA107" s="3"/>
      <c r="BB107" s="3"/>
      <c r="BC107" s="3"/>
      <c r="BD107" s="3"/>
      <c r="BE107" s="3"/>
      <c r="BF107" s="3"/>
      <c r="BG107" s="3"/>
      <c r="BH107" s="3"/>
      <c r="BI107" s="3"/>
    </row>
    <row r="108" spans="1:62" ht="21" customHeight="1">
      <c r="A108" s="11"/>
      <c r="B108" s="11"/>
      <c r="C108" s="11"/>
      <c r="D108" s="11"/>
      <c r="E108" s="11"/>
      <c r="F108" s="11"/>
      <c r="G108" s="11"/>
      <c r="H108" s="11"/>
      <c r="I108" s="11"/>
      <c r="J108" s="11"/>
      <c r="K108" s="11"/>
      <c r="L108" s="11"/>
      <c r="M108" s="11"/>
      <c r="N108" s="11"/>
      <c r="O108" s="11"/>
      <c r="P108" s="11"/>
      <c r="Q108" s="11"/>
      <c r="R108" s="11"/>
      <c r="S108" s="11"/>
      <c r="X108"/>
      <c r="Y108"/>
      <c r="Z108"/>
      <c r="AA108"/>
      <c r="AB108"/>
      <c r="AC108"/>
      <c r="AD108"/>
      <c r="AE108"/>
      <c r="AP108" s="11"/>
      <c r="AQ108" s="19"/>
      <c r="AX108" s="3"/>
      <c r="AY108" s="3"/>
      <c r="AZ108" s="3"/>
      <c r="BA108" s="3"/>
      <c r="BB108" s="3"/>
      <c r="BC108" s="3"/>
      <c r="BD108" s="3"/>
      <c r="BE108" s="3"/>
      <c r="BF108" s="3"/>
      <c r="BG108" s="3"/>
      <c r="BH108" s="3"/>
      <c r="BI108" s="3"/>
    </row>
    <row r="109" spans="1:62" ht="21" customHeight="1">
      <c r="A109" s="11"/>
      <c r="B109" s="11"/>
      <c r="C109" s="11"/>
      <c r="D109" s="11"/>
      <c r="E109" s="11"/>
      <c r="F109" s="11"/>
      <c r="G109" s="11"/>
      <c r="H109" s="11"/>
      <c r="I109" s="11"/>
      <c r="J109" s="11"/>
      <c r="K109" s="11"/>
      <c r="L109" s="11"/>
      <c r="M109" s="11"/>
      <c r="N109" s="11"/>
      <c r="O109" s="11"/>
      <c r="P109" s="11"/>
      <c r="Q109" s="11"/>
      <c r="R109" s="11"/>
      <c r="S109" s="11"/>
      <c r="X109"/>
      <c r="Y109"/>
      <c r="Z109"/>
      <c r="AA109"/>
      <c r="AB109"/>
      <c r="AC109"/>
      <c r="AD109"/>
      <c r="AE109"/>
      <c r="AP109" s="11"/>
      <c r="AQ109" s="19"/>
      <c r="AX109" s="3"/>
      <c r="AY109" s="3"/>
      <c r="AZ109" s="3"/>
      <c r="BA109" s="3"/>
      <c r="BB109" s="3"/>
      <c r="BC109" s="3"/>
      <c r="BD109" s="3"/>
      <c r="BE109" s="3"/>
      <c r="BF109" s="3"/>
      <c r="BG109" s="3"/>
      <c r="BH109" s="3"/>
      <c r="BI109" s="3"/>
    </row>
    <row r="110" spans="1:62" ht="21" customHeight="1">
      <c r="A110" s="11"/>
      <c r="B110" s="11"/>
      <c r="C110" s="11"/>
      <c r="D110" s="11"/>
      <c r="E110" s="11"/>
      <c r="F110" s="11"/>
      <c r="G110" s="11"/>
      <c r="H110" s="11"/>
      <c r="I110" s="11"/>
      <c r="J110" s="11"/>
      <c r="K110" s="11"/>
      <c r="L110" s="11"/>
      <c r="M110" s="11"/>
      <c r="N110" s="11"/>
      <c r="O110" s="11"/>
      <c r="P110" s="11"/>
      <c r="Q110" s="11"/>
      <c r="R110" s="11"/>
      <c r="S110" s="11"/>
      <c r="X110"/>
      <c r="Y110"/>
      <c r="Z110"/>
      <c r="AA110"/>
      <c r="AB110"/>
      <c r="AC110"/>
      <c r="AD110"/>
      <c r="AE110"/>
      <c r="AP110" s="11"/>
      <c r="AQ110" s="19"/>
      <c r="AX110" s="3"/>
      <c r="AY110" s="3"/>
      <c r="AZ110" s="3"/>
      <c r="BA110" s="3"/>
      <c r="BB110" s="3"/>
      <c r="BC110" s="3"/>
      <c r="BD110" s="3"/>
      <c r="BE110" s="3"/>
      <c r="BF110" s="3"/>
      <c r="BG110" s="3"/>
      <c r="BH110" s="3"/>
      <c r="BI110" s="3"/>
    </row>
    <row r="111" spans="1:62" ht="21" customHeight="1">
      <c r="A111" s="11"/>
      <c r="B111" s="11"/>
      <c r="C111" s="11"/>
      <c r="D111" s="11"/>
      <c r="E111" s="11"/>
      <c r="F111"/>
      <c r="G111"/>
      <c r="H111"/>
      <c r="I111"/>
      <c r="J111"/>
      <c r="K111"/>
      <c r="L111"/>
      <c r="M111"/>
      <c r="N111"/>
      <c r="O111"/>
      <c r="P111" s="11"/>
      <c r="Q111" s="11"/>
      <c r="R111" s="11"/>
      <c r="S111" s="11"/>
      <c r="X111"/>
      <c r="Y111"/>
      <c r="Z111"/>
      <c r="AA111"/>
      <c r="AB111"/>
      <c r="AC111"/>
      <c r="AD111"/>
      <c r="AE111"/>
      <c r="AP111" s="11"/>
      <c r="AQ111" s="19"/>
      <c r="AX111" s="3"/>
      <c r="AY111" s="3"/>
      <c r="AZ111" s="3"/>
      <c r="BA111" s="3"/>
      <c r="BB111" s="3"/>
      <c r="BC111" s="3"/>
      <c r="BD111" s="3"/>
      <c r="BE111" s="3"/>
      <c r="BF111" s="3"/>
      <c r="BG111" s="3"/>
      <c r="BH111" s="3"/>
      <c r="BI111" s="3"/>
    </row>
    <row r="112" spans="1:62" ht="21" customHeight="1">
      <c r="A112" s="11"/>
      <c r="B112" s="11"/>
      <c r="C112" s="11"/>
      <c r="D112" s="11"/>
      <c r="E112" s="11"/>
      <c r="F112"/>
      <c r="G112"/>
      <c r="H112"/>
      <c r="I112"/>
      <c r="J112"/>
      <c r="K112"/>
      <c r="L112"/>
      <c r="M112"/>
      <c r="N112"/>
      <c r="O112"/>
      <c r="P112" s="11"/>
      <c r="Q112" s="11"/>
      <c r="R112" s="11"/>
      <c r="S112" s="11"/>
      <c r="AL112" s="11"/>
      <c r="AM112" s="11"/>
      <c r="AN112" s="11"/>
      <c r="AO112" s="11"/>
      <c r="AP112" s="11"/>
      <c r="AQ112" s="19"/>
      <c r="AX112" s="3"/>
      <c r="AY112" s="3"/>
      <c r="AZ112" s="3"/>
      <c r="BA112" s="3"/>
      <c r="BB112" s="3"/>
      <c r="BC112" s="3"/>
      <c r="BD112" s="3"/>
      <c r="BE112" s="3"/>
      <c r="BF112" s="3"/>
      <c r="BG112" s="3"/>
      <c r="BH112" s="3"/>
      <c r="BI112" s="3"/>
    </row>
    <row r="113" spans="1:61" ht="21" customHeight="1">
      <c r="A113" s="11"/>
      <c r="B113" s="11"/>
      <c r="C113" s="11"/>
      <c r="D113" s="11"/>
      <c r="E113" s="11"/>
      <c r="F113"/>
      <c r="G113"/>
      <c r="H113"/>
      <c r="I113"/>
      <c r="J113"/>
      <c r="K113"/>
      <c r="L113"/>
      <c r="M113"/>
      <c r="N113"/>
      <c r="O113"/>
      <c r="P113" s="11"/>
      <c r="Q113" s="11"/>
      <c r="R113" s="11"/>
      <c r="S113" s="11"/>
      <c r="AL113" s="11"/>
      <c r="AM113" s="11"/>
      <c r="AN113" s="11"/>
      <c r="AO113" s="11"/>
      <c r="AP113" s="11"/>
      <c r="AQ113" s="19"/>
      <c r="AX113" s="3"/>
      <c r="AY113" s="3"/>
      <c r="AZ113" s="3"/>
      <c r="BA113" s="3"/>
      <c r="BB113" s="3"/>
      <c r="BC113" s="3"/>
      <c r="BD113" s="3"/>
      <c r="BE113" s="3"/>
      <c r="BF113" s="3"/>
      <c r="BG113" s="3"/>
      <c r="BH113" s="3"/>
      <c r="BI113" s="3"/>
    </row>
    <row r="114" spans="1:61" ht="21" customHeight="1">
      <c r="A114" s="11"/>
      <c r="B114" s="11"/>
      <c r="C114" s="11"/>
      <c r="D114" s="11"/>
      <c r="E114" s="11"/>
      <c r="F114"/>
      <c r="G114"/>
      <c r="H114"/>
      <c r="I114"/>
      <c r="J114"/>
      <c r="K114"/>
      <c r="L114"/>
      <c r="M114"/>
      <c r="N114"/>
      <c r="O114"/>
      <c r="P114" s="11"/>
      <c r="Q114" s="11"/>
      <c r="R114" s="11"/>
      <c r="S114" s="11"/>
      <c r="AL114" s="11"/>
      <c r="AM114" s="11"/>
      <c r="AN114" s="11"/>
      <c r="AO114" s="11"/>
      <c r="AP114" s="11"/>
      <c r="AQ114" s="19"/>
      <c r="AX114" s="3"/>
      <c r="AY114" s="3"/>
      <c r="AZ114" s="3"/>
      <c r="BA114" s="3"/>
      <c r="BB114" s="3"/>
      <c r="BC114" s="3"/>
      <c r="BD114" s="3"/>
      <c r="BE114" s="3"/>
      <c r="BF114" s="3"/>
      <c r="BG114" s="3"/>
      <c r="BH114" s="3"/>
      <c r="BI114" s="3"/>
    </row>
    <row r="115" spans="1:61" ht="21" customHeight="1">
      <c r="A115" s="11"/>
      <c r="B115" s="11"/>
      <c r="C115" s="11"/>
      <c r="D115" s="11"/>
      <c r="E115" s="11"/>
      <c r="F115"/>
      <c r="G115"/>
      <c r="H115"/>
      <c r="I115"/>
      <c r="J115"/>
      <c r="K115"/>
      <c r="L115"/>
      <c r="M115"/>
      <c r="N115"/>
      <c r="O115"/>
      <c r="P115" s="11"/>
      <c r="Q115" s="11"/>
      <c r="R115" s="11"/>
      <c r="S115" s="11"/>
      <c r="AL115" s="11"/>
      <c r="AM115" s="11"/>
      <c r="AN115" s="11"/>
      <c r="AO115" s="11"/>
      <c r="AP115" s="11"/>
      <c r="AQ115" s="19"/>
      <c r="AX115" s="3"/>
      <c r="AY115" s="3"/>
      <c r="AZ115" s="3"/>
      <c r="BA115" s="3"/>
      <c r="BB115" s="3"/>
      <c r="BC115" s="3"/>
      <c r="BD115" s="3"/>
      <c r="BE115" s="3"/>
      <c r="BF115" s="3"/>
      <c r="BG115" s="3"/>
      <c r="BH115" s="3"/>
      <c r="BI115" s="3"/>
    </row>
    <row r="116" spans="1:61" ht="21" customHeight="1">
      <c r="A116" s="11"/>
      <c r="B116" s="11"/>
      <c r="C116" s="11"/>
      <c r="D116" s="11"/>
      <c r="E116" s="11"/>
      <c r="F116"/>
      <c r="G116"/>
      <c r="H116"/>
      <c r="I116"/>
      <c r="J116"/>
      <c r="K116"/>
      <c r="L116"/>
      <c r="M116"/>
      <c r="N116"/>
      <c r="O116"/>
      <c r="P116" s="11"/>
      <c r="Q116" s="11"/>
      <c r="R116" s="11"/>
      <c r="S116" s="11"/>
      <c r="AL116" s="11"/>
      <c r="AM116" s="11"/>
      <c r="AN116" s="11"/>
      <c r="AO116" s="11"/>
      <c r="AP116" s="11"/>
      <c r="AQ116" s="19"/>
      <c r="AX116" s="3"/>
      <c r="AY116" s="3"/>
      <c r="AZ116" s="3"/>
      <c r="BA116" s="3"/>
      <c r="BB116" s="3"/>
      <c r="BC116" s="3"/>
      <c r="BD116" s="3"/>
      <c r="BE116" s="3"/>
      <c r="BF116" s="3"/>
      <c r="BG116" s="3"/>
      <c r="BH116" s="3"/>
      <c r="BI116" s="3"/>
    </row>
    <row r="117" spans="1:61" ht="21" customHeight="1">
      <c r="A117" s="11"/>
      <c r="B117" s="11"/>
      <c r="C117" s="11"/>
      <c r="D117" s="11"/>
      <c r="E117" s="11"/>
      <c r="F117"/>
      <c r="G117"/>
      <c r="H117"/>
      <c r="I117"/>
      <c r="J117"/>
      <c r="K117"/>
      <c r="L117"/>
      <c r="M117"/>
      <c r="N117"/>
      <c r="O117"/>
      <c r="P117" s="11"/>
      <c r="Q117" s="11"/>
      <c r="R117" s="11"/>
      <c r="S117" s="11"/>
      <c r="AL117" s="11"/>
      <c r="AM117" s="11"/>
      <c r="AN117" s="11"/>
      <c r="AO117" s="11"/>
      <c r="AP117" s="11"/>
      <c r="AQ117" s="19"/>
      <c r="AX117" s="3"/>
      <c r="AY117" s="3"/>
      <c r="AZ117" s="3"/>
      <c r="BA117" s="3"/>
      <c r="BB117" s="3"/>
      <c r="BC117" s="3"/>
      <c r="BD117" s="3"/>
      <c r="BE117" s="3"/>
      <c r="BF117" s="3"/>
      <c r="BG117" s="3"/>
      <c r="BH117" s="3"/>
      <c r="BI117" s="3"/>
    </row>
    <row r="118" spans="1:61" ht="21" customHeight="1">
      <c r="A118" s="11"/>
      <c r="B118" s="11"/>
      <c r="C118" s="11"/>
      <c r="D118" s="11"/>
      <c r="E118" s="11"/>
      <c r="F118"/>
      <c r="G118"/>
      <c r="H118"/>
      <c r="I118"/>
      <c r="J118"/>
      <c r="K118"/>
      <c r="L118"/>
      <c r="M118"/>
      <c r="N118"/>
      <c r="O118"/>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9"/>
      <c r="AX118" s="3"/>
      <c r="AY118" s="3"/>
      <c r="AZ118" s="3"/>
      <c r="BA118" s="3"/>
      <c r="BB118" s="3"/>
      <c r="BC118" s="3"/>
      <c r="BD118" s="3"/>
      <c r="BE118" s="3"/>
      <c r="BF118" s="3"/>
      <c r="BG118" s="3"/>
      <c r="BH118" s="3"/>
      <c r="BI118" s="3"/>
    </row>
    <row r="119" spans="1:61" ht="21" customHeight="1">
      <c r="A119" s="11"/>
      <c r="B119" s="11"/>
      <c r="C119" s="11"/>
      <c r="D119" s="11"/>
      <c r="E119" s="11"/>
      <c r="F119"/>
      <c r="G119"/>
      <c r="H119"/>
      <c r="I119"/>
      <c r="J119"/>
      <c r="K119"/>
      <c r="L119"/>
      <c r="M119"/>
      <c r="N119"/>
      <c r="O119"/>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9"/>
      <c r="AX119" s="3"/>
      <c r="AY119" s="3"/>
      <c r="AZ119" s="3"/>
      <c r="BA119" s="3"/>
      <c r="BB119" s="3"/>
      <c r="BC119" s="3"/>
      <c r="BD119" s="3"/>
      <c r="BE119" s="3"/>
      <c r="BF119" s="3"/>
      <c r="BG119" s="3"/>
      <c r="BH119" s="3"/>
      <c r="BI119" s="3"/>
    </row>
    <row r="120" spans="1:61" ht="21" customHeight="1">
      <c r="A120" s="11"/>
      <c r="B120" s="11"/>
      <c r="C120" s="11"/>
      <c r="D120" s="11"/>
      <c r="E120" s="11"/>
      <c r="F120"/>
      <c r="G120"/>
      <c r="H120"/>
      <c r="I120"/>
      <c r="J120"/>
      <c r="K120"/>
      <c r="L120"/>
      <c r="M120"/>
      <c r="N120"/>
      <c r="O120"/>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9"/>
      <c r="AX120" s="3"/>
      <c r="AY120" s="3"/>
      <c r="AZ120" s="3"/>
      <c r="BA120" s="3"/>
      <c r="BB120" s="3"/>
      <c r="BC120" s="3"/>
      <c r="BD120" s="3"/>
      <c r="BE120" s="3"/>
      <c r="BF120" s="3"/>
      <c r="BG120" s="3"/>
      <c r="BH120" s="3"/>
      <c r="BI120" s="3"/>
    </row>
    <row r="121" spans="1:61" ht="21" customHeight="1">
      <c r="A121" s="11"/>
      <c r="B121" s="11"/>
      <c r="C121" s="11"/>
      <c r="D121" s="11"/>
      <c r="E121" s="11"/>
      <c r="F121"/>
      <c r="G121"/>
      <c r="H121"/>
      <c r="I121"/>
      <c r="J121"/>
      <c r="K121"/>
      <c r="L121"/>
      <c r="M121"/>
      <c r="N121"/>
      <c r="O12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9"/>
      <c r="AX121" s="3"/>
      <c r="AY121" s="3"/>
      <c r="AZ121" s="3"/>
      <c r="BA121" s="3"/>
      <c r="BB121" s="3"/>
      <c r="BC121" s="3"/>
      <c r="BD121" s="3"/>
      <c r="BE121" s="3"/>
      <c r="BF121" s="3"/>
      <c r="BG121" s="3"/>
      <c r="BH121" s="3"/>
      <c r="BI121" s="3"/>
    </row>
    <row r="122" spans="1:61" ht="21" customHeight="1">
      <c r="A122" s="11"/>
      <c r="B122" s="11"/>
      <c r="C122" s="11"/>
      <c r="D122" s="11"/>
      <c r="E122" s="11"/>
      <c r="F122"/>
      <c r="G122"/>
      <c r="H122"/>
      <c r="I122"/>
      <c r="J122"/>
      <c r="K122"/>
      <c r="L122"/>
      <c r="M122"/>
      <c r="N122"/>
      <c r="O122"/>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9"/>
      <c r="AX122" s="3"/>
      <c r="AY122" s="3"/>
      <c r="AZ122" s="3"/>
      <c r="BA122" s="3"/>
      <c r="BB122" s="3"/>
      <c r="BC122" s="3"/>
      <c r="BD122" s="3"/>
      <c r="BE122" s="3"/>
      <c r="BF122" s="3"/>
      <c r="BG122" s="3"/>
      <c r="BH122" s="3"/>
      <c r="BI122" s="3"/>
    </row>
    <row r="123" spans="1:61" ht="21" customHeight="1">
      <c r="A123" s="11"/>
      <c r="B123" s="11"/>
      <c r="C123" s="11"/>
      <c r="D123" s="11"/>
      <c r="E123" s="11"/>
      <c r="F123"/>
      <c r="G123"/>
      <c r="H123"/>
      <c r="I123"/>
      <c r="J123"/>
      <c r="K123"/>
      <c r="L123"/>
      <c r="M123"/>
      <c r="N123"/>
      <c r="O123"/>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9"/>
      <c r="AX123" s="3"/>
      <c r="AY123" s="3"/>
      <c r="AZ123" s="3"/>
      <c r="BA123" s="3"/>
      <c r="BB123" s="3"/>
      <c r="BC123" s="3"/>
      <c r="BD123" s="3"/>
      <c r="BE123" s="3"/>
      <c r="BF123" s="3"/>
      <c r="BG123" s="3"/>
      <c r="BH123" s="3"/>
      <c r="BI123" s="3"/>
    </row>
    <row r="124" spans="1:61" ht="21" customHeight="1">
      <c r="A124" s="11"/>
      <c r="B124" s="11"/>
      <c r="C124" s="11"/>
      <c r="D124" s="11"/>
      <c r="E124" s="11"/>
      <c r="F124"/>
      <c r="G124"/>
      <c r="H124"/>
      <c r="I124"/>
      <c r="J124"/>
      <c r="K124"/>
      <c r="L124"/>
      <c r="M124"/>
      <c r="N124"/>
      <c r="O124"/>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X124" s="3"/>
      <c r="AY124" s="3"/>
      <c r="AZ124" s="3"/>
      <c r="BA124" s="3"/>
      <c r="BB124" s="3"/>
      <c r="BC124" s="3"/>
      <c r="BD124" s="3"/>
      <c r="BE124" s="3"/>
      <c r="BF124" s="3"/>
      <c r="BG124" s="3"/>
      <c r="BH124" s="3"/>
      <c r="BI124" s="3"/>
    </row>
    <row r="125" spans="1:61" ht="21" customHeight="1">
      <c r="A125" s="11"/>
      <c r="B125" s="11"/>
      <c r="C125" s="11"/>
      <c r="D125" s="11"/>
      <c r="E125" s="11"/>
      <c r="F125"/>
      <c r="G125"/>
      <c r="H125"/>
      <c r="I125"/>
      <c r="J125"/>
      <c r="K125"/>
      <c r="L125"/>
      <c r="M125"/>
      <c r="N125"/>
      <c r="O125"/>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X125" s="3"/>
      <c r="AY125" s="3"/>
      <c r="AZ125" s="3"/>
      <c r="BA125" s="3"/>
      <c r="BB125" s="3"/>
      <c r="BC125" s="3"/>
      <c r="BD125" s="3"/>
      <c r="BE125" s="3"/>
      <c r="BF125" s="3"/>
      <c r="BG125" s="3"/>
      <c r="BH125" s="3"/>
      <c r="BI125" s="3"/>
    </row>
    <row r="126" spans="1:61" ht="21" customHeight="1">
      <c r="A126" s="11"/>
      <c r="B126" s="11"/>
      <c r="C126" s="11"/>
      <c r="D126" s="11"/>
      <c r="E126" s="11"/>
      <c r="F126"/>
      <c r="G126"/>
      <c r="H126"/>
      <c r="I126"/>
      <c r="J126"/>
      <c r="K126"/>
      <c r="L126"/>
      <c r="M126"/>
      <c r="N126"/>
      <c r="O126"/>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X126" s="3"/>
      <c r="AY126" s="3"/>
      <c r="AZ126" s="3"/>
      <c r="BA126" s="3"/>
      <c r="BB126" s="3"/>
      <c r="BC126" s="3"/>
      <c r="BD126" s="3"/>
      <c r="BE126" s="3"/>
      <c r="BF126" s="3"/>
      <c r="BG126" s="3"/>
      <c r="BH126" s="3"/>
      <c r="BI126" s="3"/>
    </row>
    <row r="127" spans="1:61" ht="21" customHeight="1">
      <c r="A127" s="11"/>
      <c r="B127" s="11"/>
      <c r="C127" s="11"/>
      <c r="D127" s="11"/>
      <c r="E127" s="11"/>
      <c r="F127"/>
      <c r="G127"/>
      <c r="H127"/>
      <c r="I127"/>
      <c r="J127"/>
      <c r="K127"/>
      <c r="L127"/>
      <c r="M127"/>
      <c r="N127"/>
      <c r="O127"/>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X127" s="3"/>
      <c r="AY127" s="3"/>
      <c r="AZ127" s="3"/>
      <c r="BA127" s="3"/>
      <c r="BB127" s="3"/>
      <c r="BC127" s="3"/>
      <c r="BD127" s="3"/>
      <c r="BE127" s="3"/>
      <c r="BF127" s="3"/>
      <c r="BG127" s="3"/>
      <c r="BH127" s="3"/>
      <c r="BI127" s="3"/>
    </row>
    <row r="128" spans="1:61" ht="21" customHeight="1">
      <c r="A128" s="11"/>
      <c r="B128" s="11"/>
      <c r="C128" s="11"/>
      <c r="D128" s="11"/>
      <c r="E128" s="11"/>
      <c r="F128"/>
      <c r="G128"/>
      <c r="H128"/>
      <c r="I128"/>
      <c r="J128"/>
      <c r="K128"/>
      <c r="L128"/>
      <c r="M128"/>
      <c r="N128"/>
      <c r="O128"/>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X128" s="3"/>
      <c r="AY128" s="3"/>
      <c r="AZ128" s="3"/>
      <c r="BA128" s="3"/>
      <c r="BB128" s="3"/>
      <c r="BC128" s="3"/>
      <c r="BD128" s="3"/>
      <c r="BE128" s="3"/>
      <c r="BF128" s="3"/>
      <c r="BG128" s="3"/>
      <c r="BH128" s="3"/>
      <c r="BI128" s="3"/>
    </row>
    <row r="129" spans="1:61" ht="21" customHeight="1">
      <c r="A129" s="11"/>
      <c r="B129" s="11"/>
      <c r="C129" s="11"/>
      <c r="D129" s="11"/>
      <c r="E129" s="11"/>
      <c r="F129"/>
      <c r="G129"/>
      <c r="H129"/>
      <c r="I129"/>
      <c r="J129"/>
      <c r="K129"/>
      <c r="L129"/>
      <c r="M129"/>
      <c r="N129"/>
      <c r="O129"/>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X129" s="3"/>
      <c r="AY129" s="3"/>
      <c r="AZ129" s="3"/>
      <c r="BA129" s="3"/>
      <c r="BB129" s="3"/>
      <c r="BC129" s="3"/>
      <c r="BD129" s="3"/>
      <c r="BE129" s="3"/>
      <c r="BF129" s="3"/>
      <c r="BG129" s="3"/>
      <c r="BH129" s="3"/>
      <c r="BI129" s="3"/>
    </row>
    <row r="130" spans="1:61" ht="21" customHeight="1">
      <c r="A130" s="11"/>
      <c r="B130" s="11"/>
      <c r="C130" s="11"/>
      <c r="D130" s="11"/>
      <c r="E130" s="11"/>
      <c r="F130"/>
      <c r="G130"/>
      <c r="H130"/>
      <c r="I130"/>
      <c r="J130"/>
      <c r="K130"/>
      <c r="L130"/>
      <c r="M130"/>
      <c r="N130"/>
      <c r="O130"/>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X130" s="3"/>
      <c r="AY130" s="3"/>
      <c r="AZ130" s="3"/>
      <c r="BA130" s="3"/>
      <c r="BB130" s="3"/>
      <c r="BC130" s="3"/>
      <c r="BD130" s="3"/>
      <c r="BE130" s="3"/>
      <c r="BF130" s="3"/>
      <c r="BG130" s="3"/>
      <c r="BH130" s="3"/>
      <c r="BI130" s="3"/>
    </row>
    <row r="131" spans="1:61" ht="21" customHeight="1">
      <c r="A131" s="11"/>
      <c r="B131" s="11"/>
      <c r="C131" s="11"/>
      <c r="D131" s="11"/>
      <c r="E131" s="11"/>
      <c r="F131"/>
      <c r="G131"/>
      <c r="H131"/>
      <c r="I131"/>
      <c r="J131"/>
      <c r="K131"/>
      <c r="L131"/>
      <c r="M131"/>
      <c r="N131"/>
      <c r="O13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X131" s="3"/>
      <c r="AY131" s="3"/>
      <c r="AZ131" s="3"/>
      <c r="BA131" s="3"/>
      <c r="BB131" s="3"/>
      <c r="BC131" s="3"/>
      <c r="BD131" s="3"/>
      <c r="BE131" s="3"/>
      <c r="BF131" s="3"/>
      <c r="BG131" s="3"/>
      <c r="BH131" s="3"/>
      <c r="BI131" s="3"/>
    </row>
    <row r="132" spans="1:61" ht="21" customHeight="1">
      <c r="A132" s="11"/>
      <c r="B132" s="11"/>
      <c r="C132" s="11"/>
      <c r="D132" s="11"/>
      <c r="E132" s="11"/>
      <c r="F132"/>
      <c r="G132"/>
      <c r="H132"/>
      <c r="I132"/>
      <c r="J132"/>
      <c r="K132"/>
      <c r="L132"/>
      <c r="M132"/>
      <c r="N132"/>
      <c r="O132"/>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X132" s="3"/>
      <c r="AY132" s="3"/>
      <c r="AZ132" s="3"/>
      <c r="BA132" s="3"/>
      <c r="BB132" s="3"/>
      <c r="BC132" s="3"/>
      <c r="BD132" s="3"/>
      <c r="BE132" s="3"/>
      <c r="BF132" s="3"/>
      <c r="BG132" s="3"/>
      <c r="BH132" s="3"/>
      <c r="BI132" s="3"/>
    </row>
    <row r="133" spans="1:61" ht="21" customHeight="1">
      <c r="A133" s="11"/>
      <c r="B133" s="11"/>
      <c r="C133" s="11"/>
      <c r="D133" s="11"/>
      <c r="E133" s="11"/>
      <c r="F133"/>
      <c r="G133"/>
      <c r="H133"/>
      <c r="I133"/>
      <c r="J133"/>
      <c r="K133"/>
      <c r="L133"/>
      <c r="M133"/>
      <c r="N133"/>
      <c r="O133"/>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X133" s="3"/>
      <c r="AY133" s="3"/>
      <c r="AZ133" s="3"/>
      <c r="BA133" s="3"/>
      <c r="BB133" s="3"/>
      <c r="BC133" s="3"/>
      <c r="BD133" s="3"/>
      <c r="BE133" s="3"/>
      <c r="BF133" s="3"/>
      <c r="BG133" s="3"/>
      <c r="BH133" s="3"/>
      <c r="BI133" s="3"/>
    </row>
    <row r="134" spans="1:61" ht="21" customHeight="1">
      <c r="A134" s="11"/>
      <c r="B134" s="11"/>
      <c r="C134" s="11"/>
      <c r="D134" s="11"/>
      <c r="E134" s="11"/>
      <c r="F134"/>
      <c r="G134"/>
      <c r="H134"/>
      <c r="I134"/>
      <c r="J134"/>
      <c r="K134"/>
      <c r="L134"/>
      <c r="M134"/>
      <c r="N134"/>
      <c r="O134"/>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X134" s="3"/>
      <c r="AY134" s="3"/>
      <c r="AZ134" s="3"/>
      <c r="BA134" s="3"/>
      <c r="BB134" s="3"/>
      <c r="BC134" s="3"/>
      <c r="BD134" s="3"/>
      <c r="BE134" s="3"/>
      <c r="BF134" s="3"/>
      <c r="BG134" s="3"/>
      <c r="BH134" s="3"/>
      <c r="BI134" s="3"/>
    </row>
    <row r="135" spans="1:61" ht="21" customHeight="1">
      <c r="A135" s="11"/>
      <c r="B135" s="11"/>
      <c r="C135" s="11"/>
      <c r="D135" s="11"/>
      <c r="E135" s="11"/>
      <c r="F135"/>
      <c r="G135"/>
      <c r="H135"/>
      <c r="I135"/>
      <c r="J135"/>
      <c r="K135"/>
      <c r="L135"/>
      <c r="M135"/>
      <c r="N135"/>
      <c r="O135"/>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X135" s="3"/>
      <c r="AY135" s="3"/>
      <c r="AZ135" s="3"/>
      <c r="BA135" s="3"/>
      <c r="BB135" s="3"/>
      <c r="BC135" s="3"/>
      <c r="BD135" s="3"/>
      <c r="BE135" s="3"/>
      <c r="BF135" s="3"/>
      <c r="BG135" s="3"/>
      <c r="BH135" s="3"/>
      <c r="BI135" s="3"/>
    </row>
    <row r="136" spans="1:61" ht="21" customHeight="1">
      <c r="A136" s="11"/>
      <c r="B136" s="11"/>
      <c r="C136" s="11"/>
      <c r="D136" s="11"/>
      <c r="E136" s="11"/>
      <c r="F136"/>
      <c r="G136"/>
      <c r="H136"/>
      <c r="I136"/>
      <c r="J136"/>
      <c r="K136"/>
      <c r="L136"/>
      <c r="M136"/>
      <c r="N136"/>
      <c r="O136"/>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X136" s="3"/>
      <c r="AY136" s="3"/>
      <c r="AZ136" s="3"/>
      <c r="BA136" s="3"/>
      <c r="BB136" s="3"/>
      <c r="BC136" s="3"/>
      <c r="BD136" s="3"/>
      <c r="BE136" s="3"/>
      <c r="BF136" s="3"/>
      <c r="BG136" s="3"/>
      <c r="BH136" s="3"/>
      <c r="BI136" s="3"/>
    </row>
    <row r="137" spans="1:61" ht="21" customHeight="1">
      <c r="A137" s="11"/>
      <c r="B137" s="11"/>
      <c r="C137" s="11"/>
      <c r="D137" s="11"/>
      <c r="E137" s="11"/>
      <c r="F137"/>
      <c r="G137"/>
      <c r="H137"/>
      <c r="I137"/>
      <c r="J137"/>
      <c r="K137"/>
      <c r="L137"/>
      <c r="M137"/>
      <c r="N137"/>
      <c r="O137"/>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X137" s="3"/>
      <c r="AY137" s="3"/>
      <c r="AZ137" s="3"/>
      <c r="BA137" s="3"/>
      <c r="BB137" s="3"/>
      <c r="BC137" s="3"/>
      <c r="BD137" s="3"/>
      <c r="BE137" s="3"/>
      <c r="BF137" s="3"/>
      <c r="BG137" s="3"/>
      <c r="BH137" s="3"/>
      <c r="BI137" s="3"/>
    </row>
    <row r="138" spans="1:61" ht="21" customHeight="1">
      <c r="A138" s="11"/>
      <c r="B138" s="11"/>
      <c r="C138" s="11"/>
      <c r="D138" s="11"/>
      <c r="E138" s="11"/>
      <c r="F138"/>
      <c r="G138"/>
      <c r="H138"/>
      <c r="I138"/>
      <c r="J138"/>
      <c r="K138"/>
      <c r="L138"/>
      <c r="M138"/>
      <c r="N138"/>
      <c r="O138"/>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X138" s="3"/>
      <c r="AY138" s="3"/>
      <c r="AZ138" s="3"/>
      <c r="BA138" s="3"/>
      <c r="BB138" s="3"/>
      <c r="BC138" s="3"/>
      <c r="BD138" s="3"/>
      <c r="BE138" s="3"/>
      <c r="BF138" s="3"/>
      <c r="BG138" s="3"/>
      <c r="BH138" s="3"/>
      <c r="BI138" s="3"/>
    </row>
    <row r="139" spans="1:61" ht="21" customHeight="1">
      <c r="A139" s="11"/>
      <c r="B139" s="11"/>
      <c r="C139" s="11"/>
      <c r="D139" s="11"/>
      <c r="E139" s="11"/>
      <c r="F139"/>
      <c r="G139"/>
      <c r="H139"/>
      <c r="I139"/>
      <c r="J139"/>
      <c r="K139"/>
      <c r="L139"/>
      <c r="M139"/>
      <c r="N139"/>
      <c r="O139"/>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X139" s="3"/>
      <c r="AY139" s="3"/>
      <c r="AZ139" s="3"/>
      <c r="BA139" s="3"/>
      <c r="BB139" s="3"/>
      <c r="BC139" s="3"/>
      <c r="BD139" s="3"/>
      <c r="BE139" s="3"/>
      <c r="BF139" s="3"/>
      <c r="BG139" s="3"/>
      <c r="BH139" s="3"/>
      <c r="BI139" s="3"/>
    </row>
    <row r="140" spans="1:61" ht="21" customHeight="1">
      <c r="A140" s="11"/>
      <c r="B140" s="11"/>
      <c r="C140" s="11"/>
      <c r="D140" s="11"/>
      <c r="E140" s="11"/>
      <c r="F140"/>
      <c r="G140"/>
      <c r="H140"/>
      <c r="I140"/>
      <c r="J140"/>
      <c r="K140"/>
      <c r="L140"/>
      <c r="M140"/>
      <c r="N140"/>
      <c r="O140"/>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X140" s="3"/>
      <c r="AY140" s="3"/>
      <c r="AZ140" s="3"/>
      <c r="BA140" s="3"/>
      <c r="BB140" s="3"/>
      <c r="BC140" s="3"/>
      <c r="BD140" s="3"/>
      <c r="BE140" s="3"/>
      <c r="BF140" s="3"/>
      <c r="BG140" s="3"/>
      <c r="BH140" s="3"/>
      <c r="BI140" s="3"/>
    </row>
    <row r="141" spans="1:61" ht="21" customHeight="1">
      <c r="A141" s="11"/>
      <c r="B141" s="11"/>
      <c r="C141" s="11"/>
      <c r="D141" s="11"/>
      <c r="E141" s="11"/>
      <c r="F141"/>
      <c r="G141"/>
      <c r="H141"/>
      <c r="I141"/>
      <c r="J141"/>
      <c r="K141"/>
      <c r="L141"/>
      <c r="M141"/>
      <c r="N141"/>
      <c r="O14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X141" s="3"/>
      <c r="AY141" s="3"/>
      <c r="AZ141" s="3"/>
      <c r="BA141" s="3"/>
      <c r="BB141" s="3"/>
      <c r="BC141" s="3"/>
      <c r="BD141" s="3"/>
      <c r="BE141" s="3"/>
      <c r="BF141" s="3"/>
      <c r="BG141" s="3"/>
      <c r="BH141" s="3"/>
      <c r="BI141" s="3"/>
    </row>
    <row r="142" spans="1:61" ht="21" customHeight="1">
      <c r="A142" s="11"/>
      <c r="B142" s="11"/>
      <c r="C142" s="11"/>
      <c r="D142" s="11"/>
      <c r="E142" s="11"/>
      <c r="F142" s="11"/>
      <c r="G142" s="11"/>
      <c r="H142" s="11"/>
      <c r="I142" s="11"/>
      <c r="J142" s="11"/>
      <c r="K142" s="11"/>
      <c r="L142" s="11"/>
      <c r="M142" s="11"/>
      <c r="N142" s="11"/>
      <c r="O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X142" s="3"/>
      <c r="AY142" s="3"/>
      <c r="AZ142" s="3"/>
      <c r="BA142" s="3"/>
      <c r="BB142" s="3"/>
      <c r="BC142" s="3"/>
      <c r="BD142" s="3"/>
      <c r="BE142" s="3"/>
      <c r="BF142" s="3"/>
      <c r="BG142" s="3"/>
      <c r="BH142" s="3"/>
      <c r="BI142" s="3"/>
    </row>
    <row r="143" spans="1:61" ht="21" customHeight="1">
      <c r="A143" s="11"/>
      <c r="B143" s="11"/>
      <c r="C143" s="11"/>
      <c r="D143" s="11"/>
      <c r="E143" s="11"/>
      <c r="F143" s="11"/>
      <c r="G143" s="11"/>
      <c r="H143" s="11"/>
      <c r="I143" s="11"/>
      <c r="J143" s="11"/>
      <c r="K143" s="11"/>
      <c r="L143" s="11"/>
      <c r="M143" s="11"/>
      <c r="N143" s="11"/>
      <c r="O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X143" s="3"/>
      <c r="AY143" s="3"/>
      <c r="AZ143" s="3"/>
      <c r="BA143" s="3"/>
      <c r="BB143" s="3"/>
      <c r="BC143" s="3"/>
      <c r="BD143" s="3"/>
      <c r="BE143" s="3"/>
      <c r="BF143" s="3"/>
      <c r="BG143" s="3"/>
      <c r="BH143" s="3"/>
      <c r="BI143" s="3"/>
    </row>
    <row r="144" spans="1:61" ht="21" customHeight="1">
      <c r="A144" s="11"/>
      <c r="B144" s="11"/>
      <c r="C144" s="11"/>
      <c r="D144" s="11"/>
      <c r="E144" s="11"/>
      <c r="F144" s="11"/>
      <c r="G144" s="11"/>
      <c r="H144" s="11"/>
      <c r="I144" s="11"/>
      <c r="J144" s="11"/>
      <c r="K144" s="11"/>
      <c r="L144" s="11"/>
      <c r="M144" s="11"/>
      <c r="N144" s="11"/>
      <c r="O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X144" s="3"/>
      <c r="AY144" s="3"/>
      <c r="AZ144" s="3"/>
      <c r="BA144" s="3"/>
      <c r="BB144" s="3"/>
      <c r="BC144" s="3"/>
      <c r="BD144" s="3"/>
      <c r="BE144" s="3"/>
      <c r="BF144" s="3"/>
      <c r="BG144" s="3"/>
      <c r="BH144" s="3"/>
      <c r="BI144" s="3"/>
    </row>
    <row r="145" spans="1:61" ht="21" customHeight="1">
      <c r="A145" s="11"/>
      <c r="B145" s="11"/>
      <c r="C145" s="11"/>
      <c r="D145" s="11"/>
      <c r="E145" s="11"/>
      <c r="F145" s="11"/>
      <c r="G145" s="11"/>
      <c r="H145" s="11"/>
      <c r="I145" s="11"/>
      <c r="J145" s="11"/>
      <c r="K145" s="11"/>
      <c r="L145" s="11"/>
      <c r="M145" s="11"/>
      <c r="N145" s="11"/>
      <c r="O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X145" s="3"/>
      <c r="AY145" s="3"/>
      <c r="AZ145" s="3"/>
      <c r="BA145" s="3"/>
      <c r="BB145" s="3"/>
      <c r="BC145" s="3"/>
      <c r="BD145" s="3"/>
      <c r="BE145" s="3"/>
      <c r="BF145" s="3"/>
      <c r="BG145" s="3"/>
      <c r="BH145" s="3"/>
      <c r="BI145" s="3"/>
    </row>
    <row r="146" spans="1:61" ht="21" customHeight="1">
      <c r="A146" s="11"/>
      <c r="B146" s="11"/>
      <c r="C146" s="11"/>
      <c r="D146" s="11"/>
      <c r="E146" s="11"/>
      <c r="F146" s="11"/>
      <c r="G146" s="11"/>
      <c r="H146" s="11"/>
      <c r="I146" s="11"/>
      <c r="J146" s="11"/>
      <c r="K146" s="11"/>
      <c r="L146" s="11"/>
      <c r="M146" s="11"/>
      <c r="N146" s="11"/>
      <c r="O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X146" s="3"/>
      <c r="AY146" s="3"/>
      <c r="AZ146" s="3"/>
      <c r="BA146" s="3"/>
      <c r="BB146" s="3"/>
      <c r="BC146" s="3"/>
      <c r="BD146" s="3"/>
      <c r="BE146" s="3"/>
      <c r="BF146" s="3"/>
      <c r="BG146" s="3"/>
      <c r="BH146" s="3"/>
      <c r="BI146" s="3"/>
    </row>
    <row r="147" spans="1:61" ht="21" customHeight="1">
      <c r="A147" s="11"/>
      <c r="B147" s="11"/>
      <c r="C147" s="11"/>
      <c r="D147" s="11"/>
      <c r="E147" s="11"/>
      <c r="F147" s="11"/>
      <c r="G147" s="11"/>
      <c r="H147" s="11"/>
      <c r="I147" s="11"/>
      <c r="J147" s="11"/>
      <c r="K147" s="11"/>
      <c r="L147" s="11"/>
      <c r="M147" s="11"/>
      <c r="N147" s="11"/>
      <c r="O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X147" s="3"/>
      <c r="AY147" s="3"/>
      <c r="AZ147" s="3"/>
      <c r="BA147" s="3"/>
      <c r="BB147" s="3"/>
      <c r="BC147" s="3"/>
      <c r="BD147" s="3"/>
      <c r="BE147" s="3"/>
      <c r="BF147" s="3"/>
      <c r="BG147" s="3"/>
      <c r="BH147" s="3"/>
      <c r="BI147" s="3"/>
    </row>
    <row r="148" spans="1:61" ht="21" customHeight="1">
      <c r="A148" s="11"/>
      <c r="B148" s="11"/>
      <c r="C148" s="11"/>
      <c r="D148" s="11"/>
      <c r="E148" s="11"/>
      <c r="F148" s="11"/>
      <c r="G148" s="11"/>
      <c r="H148" s="11"/>
      <c r="I148" s="11"/>
      <c r="J148" s="11"/>
      <c r="K148" s="11"/>
      <c r="L148" s="11"/>
      <c r="M148" s="11"/>
      <c r="N148" s="11"/>
      <c r="O148" s="11"/>
      <c r="X148" s="11"/>
      <c r="Y148" s="11"/>
      <c r="Z148" s="11"/>
      <c r="AA148" s="11"/>
      <c r="AB148" s="11"/>
      <c r="AC148" s="11"/>
      <c r="AD148" s="11"/>
      <c r="AE148" s="11"/>
      <c r="AF148" s="11"/>
      <c r="AG148" s="11"/>
      <c r="AH148" s="11"/>
      <c r="AI148" s="11"/>
      <c r="AJ148" s="11"/>
      <c r="AK148" s="11"/>
      <c r="AL148" s="11"/>
      <c r="AM148" s="11"/>
      <c r="AN148" s="11"/>
      <c r="AO148" s="11"/>
      <c r="AP148" s="11"/>
      <c r="AX148" s="3"/>
      <c r="AY148" s="3"/>
      <c r="AZ148" s="3"/>
      <c r="BA148" s="3"/>
      <c r="BB148" s="3"/>
      <c r="BC148" s="3"/>
      <c r="BD148" s="3"/>
      <c r="BE148" s="3"/>
      <c r="BF148" s="3"/>
      <c r="BG148" s="3"/>
      <c r="BH148" s="3"/>
      <c r="BI148" s="3"/>
    </row>
    <row r="149" spans="1:61" ht="21" customHeight="1">
      <c r="A149" s="11"/>
      <c r="B149" s="11"/>
      <c r="C149" s="11"/>
      <c r="D149" s="11"/>
      <c r="E149" s="11"/>
      <c r="F149" s="11"/>
      <c r="G149" s="11"/>
      <c r="H149" s="11"/>
      <c r="I149" s="11"/>
      <c r="J149" s="11"/>
      <c r="K149" s="11"/>
      <c r="L149" s="11"/>
      <c r="M149" s="11"/>
      <c r="N149" s="11"/>
      <c r="O149" s="11"/>
      <c r="X149" s="11"/>
      <c r="Y149" s="11"/>
      <c r="Z149" s="11"/>
      <c r="AA149" s="11"/>
      <c r="AB149" s="11"/>
      <c r="AC149" s="11"/>
      <c r="AD149" s="11"/>
      <c r="AE149" s="11"/>
      <c r="AF149" s="11"/>
      <c r="AG149" s="11"/>
      <c r="AH149" s="11"/>
      <c r="AI149" s="11"/>
      <c r="AJ149" s="11"/>
      <c r="AK149" s="11"/>
      <c r="AL149" s="11"/>
      <c r="AM149" s="11"/>
      <c r="AN149" s="11"/>
      <c r="AO149" s="11"/>
      <c r="AP149" s="11"/>
      <c r="AX149" s="3"/>
      <c r="AY149" s="3"/>
      <c r="AZ149" s="3"/>
      <c r="BA149" s="3"/>
      <c r="BB149" s="3"/>
      <c r="BC149" s="3"/>
      <c r="BD149" s="3"/>
      <c r="BE149" s="3"/>
      <c r="BF149" s="3"/>
      <c r="BG149" s="3"/>
      <c r="BH149" s="3"/>
      <c r="BI149" s="3"/>
    </row>
    <row r="150" spans="1:61" ht="21" customHeight="1">
      <c r="A150" s="11"/>
      <c r="B150" s="11"/>
      <c r="C150" s="11"/>
      <c r="D150" s="11"/>
      <c r="E150" s="11"/>
      <c r="F150" s="11"/>
      <c r="G150" s="11"/>
      <c r="H150" s="11"/>
      <c r="I150" s="11"/>
      <c r="J150" s="11"/>
      <c r="K150" s="11"/>
      <c r="L150" s="11"/>
      <c r="M150" s="11"/>
      <c r="N150" s="11"/>
      <c r="O150" s="11"/>
      <c r="X150" s="11"/>
      <c r="AG150" s="11"/>
      <c r="AP150" s="11"/>
      <c r="AX150" s="3"/>
      <c r="AY150" s="3"/>
      <c r="AZ150" s="3"/>
      <c r="BA150" s="3"/>
      <c r="BB150" s="3"/>
      <c r="BC150" s="3"/>
      <c r="BD150" s="3"/>
      <c r="BE150" s="3"/>
      <c r="BF150" s="3"/>
      <c r="BG150" s="3"/>
      <c r="BH150" s="3"/>
      <c r="BI150" s="3"/>
    </row>
    <row r="151" spans="1:61" ht="21" customHeight="1">
      <c r="A151" s="11"/>
      <c r="B151" s="11"/>
      <c r="C151" s="11"/>
      <c r="D151" s="11"/>
      <c r="E151" s="11"/>
      <c r="F151" s="11"/>
      <c r="G151" s="11"/>
      <c r="H151" s="11"/>
      <c r="I151" s="11"/>
      <c r="J151" s="11"/>
      <c r="K151" s="11"/>
      <c r="L151" s="11"/>
      <c r="M151" s="11"/>
      <c r="N151" s="11"/>
      <c r="O151" s="11"/>
      <c r="X151" s="11"/>
      <c r="AG151" s="11"/>
      <c r="AP151" s="11"/>
      <c r="AX151" s="3"/>
      <c r="AY151" s="3"/>
      <c r="AZ151" s="3"/>
      <c r="BA151" s="3"/>
      <c r="BB151" s="3"/>
      <c r="BC151" s="3"/>
      <c r="BD151" s="3"/>
      <c r="BE151" s="3"/>
      <c r="BF151" s="3"/>
      <c r="BG151" s="3"/>
      <c r="BH151" s="3"/>
      <c r="BI151" s="3"/>
    </row>
    <row r="152" spans="1:61" ht="21" customHeight="1">
      <c r="A152" s="11"/>
      <c r="B152" s="11"/>
      <c r="C152" s="11"/>
      <c r="D152" s="11"/>
      <c r="E152" s="11"/>
      <c r="F152" s="11"/>
      <c r="G152" s="11"/>
      <c r="H152" s="11"/>
      <c r="I152" s="11"/>
      <c r="J152" s="11"/>
      <c r="K152" s="11"/>
      <c r="L152" s="11"/>
      <c r="M152" s="11"/>
      <c r="N152" s="11"/>
      <c r="O152" s="11"/>
      <c r="X152" s="11"/>
      <c r="AG152" s="11"/>
      <c r="AP152" s="11"/>
      <c r="AY152" s="11"/>
    </row>
    <row r="153" spans="1:61" ht="21" customHeight="1">
      <c r="A153" s="11"/>
      <c r="B153" s="11"/>
      <c r="C153" s="11"/>
      <c r="D153" s="11"/>
      <c r="E153" s="11"/>
      <c r="F153" s="11"/>
      <c r="G153" s="11"/>
      <c r="H153" s="11"/>
      <c r="I153" s="11"/>
      <c r="J153" s="11"/>
      <c r="K153" s="11"/>
      <c r="L153" s="11"/>
      <c r="M153" s="11"/>
      <c r="N153" s="11"/>
      <c r="O153" s="11"/>
      <c r="X153" s="11"/>
      <c r="AG153" s="11"/>
      <c r="AP153" s="11"/>
      <c r="AY153" s="11"/>
    </row>
    <row r="154" spans="1:61" ht="21" customHeight="1">
      <c r="A154" s="11"/>
      <c r="B154" s="11"/>
      <c r="C154" s="11"/>
      <c r="D154" s="11"/>
      <c r="E154" s="11"/>
      <c r="F154" s="11"/>
      <c r="G154" s="11"/>
      <c r="H154" s="11"/>
      <c r="I154" s="11"/>
      <c r="J154" s="11"/>
      <c r="K154" s="11"/>
      <c r="L154" s="11"/>
      <c r="M154" s="11"/>
      <c r="N154" s="11"/>
      <c r="O154" s="11"/>
      <c r="X154" s="11"/>
      <c r="AG154" s="11"/>
      <c r="AP154" s="11"/>
      <c r="AY154" s="11"/>
    </row>
    <row r="155" spans="1:61" ht="21" customHeight="1">
      <c r="A155" s="11"/>
      <c r="B155" s="11"/>
      <c r="C155" s="11"/>
      <c r="D155" s="11"/>
      <c r="E155" s="11"/>
      <c r="F155" s="11"/>
      <c r="G155" s="11"/>
      <c r="H155" s="11"/>
      <c r="I155" s="11"/>
      <c r="J155" s="11"/>
      <c r="K155" s="11"/>
      <c r="L155" s="11"/>
      <c r="M155" s="11"/>
      <c r="N155" s="11"/>
      <c r="O155" s="11"/>
      <c r="X155" s="11"/>
      <c r="AG155" s="11"/>
      <c r="AP155" s="11"/>
      <c r="AY155" s="11"/>
    </row>
    <row r="156" spans="1:61" ht="21" customHeight="1">
      <c r="A156" s="11"/>
      <c r="B156" s="11"/>
      <c r="C156" s="11"/>
      <c r="D156" s="11"/>
      <c r="E156" s="11"/>
      <c r="F156" s="11"/>
      <c r="G156" s="11"/>
      <c r="H156" s="11"/>
      <c r="I156" s="11"/>
      <c r="J156" s="11"/>
      <c r="K156" s="11"/>
      <c r="L156" s="11"/>
      <c r="M156" s="11"/>
      <c r="N156" s="11"/>
      <c r="O156" s="11"/>
      <c r="X156" s="11"/>
      <c r="AG156" s="11"/>
      <c r="AP156" s="11"/>
      <c r="AY156" s="11"/>
    </row>
    <row r="157" spans="1:61" ht="21" customHeight="1">
      <c r="A157" s="11"/>
      <c r="B157" s="11"/>
      <c r="C157" s="11"/>
      <c r="D157" s="11"/>
      <c r="E157" s="11"/>
      <c r="F157" s="11"/>
      <c r="G157" s="11"/>
      <c r="H157" s="11"/>
      <c r="I157" s="11"/>
      <c r="J157" s="11"/>
      <c r="K157" s="11"/>
      <c r="L157" s="11"/>
      <c r="M157" s="11"/>
      <c r="N157" s="11"/>
      <c r="O157" s="11"/>
      <c r="X157" s="11"/>
      <c r="AG157" s="11"/>
      <c r="AP157" s="11"/>
      <c r="AY157" s="11"/>
    </row>
    <row r="158" spans="1:61" ht="21" customHeight="1">
      <c r="A158" s="11"/>
      <c r="B158" s="11"/>
      <c r="C158" s="11"/>
      <c r="D158" s="11"/>
      <c r="E158" s="11"/>
      <c r="F158" s="11"/>
      <c r="G158" s="11"/>
      <c r="H158" s="11"/>
      <c r="I158" s="11"/>
      <c r="J158" s="11"/>
      <c r="K158" s="11"/>
      <c r="L158" s="11"/>
      <c r="M158" s="11"/>
      <c r="N158" s="11"/>
      <c r="O158" s="11"/>
      <c r="X158" s="11"/>
      <c r="AG158" s="11"/>
      <c r="AP158" s="11"/>
      <c r="AY158" s="11"/>
    </row>
    <row r="159" spans="1:61" ht="21" customHeight="1">
      <c r="A159" s="11"/>
      <c r="B159" s="11"/>
      <c r="C159" s="11"/>
      <c r="D159" s="11"/>
      <c r="E159" s="11"/>
      <c r="F159" s="11"/>
      <c r="G159" s="11"/>
      <c r="H159" s="11"/>
      <c r="I159" s="11"/>
      <c r="J159" s="11"/>
      <c r="K159" s="11"/>
      <c r="L159" s="11"/>
      <c r="M159" s="11"/>
      <c r="N159" s="11"/>
      <c r="O159" s="11"/>
      <c r="X159" s="11"/>
      <c r="AG159" s="11"/>
      <c r="AP159" s="11"/>
      <c r="AY159" s="11"/>
    </row>
    <row r="160" spans="1:61" ht="21" customHeight="1">
      <c r="A160" s="11"/>
      <c r="B160" s="11"/>
      <c r="C160" s="11"/>
      <c r="D160" s="11"/>
      <c r="E160" s="11"/>
      <c r="F160" s="11"/>
      <c r="G160" s="11"/>
      <c r="H160" s="11"/>
      <c r="I160" s="11"/>
      <c r="J160" s="11"/>
      <c r="K160" s="11"/>
      <c r="L160" s="11"/>
      <c r="M160" s="11"/>
      <c r="N160" s="11"/>
      <c r="O160" s="11"/>
      <c r="X160" s="11"/>
      <c r="AG160" s="11"/>
      <c r="AP160" s="11"/>
      <c r="AY160" s="11"/>
    </row>
    <row r="161" spans="1:51" ht="21" customHeight="1">
      <c r="A161" s="11"/>
      <c r="B161" s="11"/>
      <c r="C161" s="11"/>
      <c r="D161" s="11"/>
      <c r="E161" s="11"/>
      <c r="O161" s="11"/>
      <c r="X161" s="11"/>
      <c r="AG161" s="11"/>
      <c r="AP161" s="11"/>
      <c r="AY161" s="11"/>
    </row>
    <row r="162" spans="1:51" ht="21" customHeight="1">
      <c r="A162" s="11"/>
      <c r="B162" s="11"/>
      <c r="C162" s="11"/>
      <c r="D162" s="11"/>
      <c r="E162" s="11"/>
      <c r="O162" s="11"/>
      <c r="X162" s="11"/>
      <c r="AG162" s="11"/>
      <c r="AP162" s="11"/>
      <c r="AY162" s="11"/>
    </row>
    <row r="163" spans="1:51" ht="21" customHeight="1">
      <c r="A163" s="11"/>
      <c r="B163" s="11"/>
      <c r="C163" s="11"/>
      <c r="D163" s="11"/>
      <c r="E163" s="11"/>
      <c r="O163" s="11"/>
      <c r="X163" s="11"/>
      <c r="AG163" s="11"/>
      <c r="AP163" s="11"/>
      <c r="AY163" s="11"/>
    </row>
    <row r="164" spans="1:51" ht="21" customHeight="1">
      <c r="A164" s="11"/>
      <c r="B164" s="11"/>
      <c r="C164" s="11"/>
      <c r="D164" s="11"/>
      <c r="E164" s="11"/>
      <c r="O164" s="11"/>
      <c r="X164" s="11"/>
      <c r="AG164" s="11"/>
      <c r="AP164" s="11"/>
      <c r="AY164" s="11"/>
    </row>
    <row r="165" spans="1:51" ht="21" customHeight="1"/>
    <row r="166" spans="1:51" ht="21" customHeight="1"/>
  </sheetData>
  <mergeCells count="87">
    <mergeCell ref="B75:D75"/>
    <mergeCell ref="E75:F75"/>
    <mergeCell ref="B74:F74"/>
    <mergeCell ref="B81:C81"/>
    <mergeCell ref="B24:C24"/>
    <mergeCell ref="B25:C25"/>
    <mergeCell ref="B44:C44"/>
    <mergeCell ref="B42:F42"/>
    <mergeCell ref="C34:D34"/>
    <mergeCell ref="C35:D35"/>
    <mergeCell ref="C36:D36"/>
    <mergeCell ref="C37:D37"/>
    <mergeCell ref="C38:D38"/>
    <mergeCell ref="C28:D28"/>
    <mergeCell ref="C31:D31"/>
    <mergeCell ref="C32:D32"/>
    <mergeCell ref="B9:C9"/>
    <mergeCell ref="B70:C70"/>
    <mergeCell ref="B71:C71"/>
    <mergeCell ref="B18:C18"/>
    <mergeCell ref="B19:C19"/>
    <mergeCell ref="B16:F16"/>
    <mergeCell ref="B17:F17"/>
    <mergeCell ref="C33:D33"/>
    <mergeCell ref="C29:D29"/>
    <mergeCell ref="C30:D30"/>
    <mergeCell ref="H18:H25"/>
    <mergeCell ref="E59:F59"/>
    <mergeCell ref="P10:P17"/>
    <mergeCell ref="P18:P25"/>
    <mergeCell ref="P26:P33"/>
    <mergeCell ref="P34:P41"/>
    <mergeCell ref="P42:P49"/>
    <mergeCell ref="F83:I83"/>
    <mergeCell ref="J75:N75"/>
    <mergeCell ref="J61:N61"/>
    <mergeCell ref="E64:F64"/>
    <mergeCell ref="E65:F65"/>
    <mergeCell ref="E66:F66"/>
    <mergeCell ref="E67:F67"/>
    <mergeCell ref="E68:F68"/>
    <mergeCell ref="E61:F61"/>
    <mergeCell ref="E62:F62"/>
    <mergeCell ref="E63:F63"/>
    <mergeCell ref="F93:H93"/>
    <mergeCell ref="F95:H95"/>
    <mergeCell ref="F97:H97"/>
    <mergeCell ref="F84:H84"/>
    <mergeCell ref="F85:H85"/>
    <mergeCell ref="F86:H86"/>
    <mergeCell ref="F87:H87"/>
    <mergeCell ref="F92:G92"/>
    <mergeCell ref="X58:X65"/>
    <mergeCell ref="B59:C59"/>
    <mergeCell ref="B57:C57"/>
    <mergeCell ref="E60:F60"/>
    <mergeCell ref="B72:C72"/>
    <mergeCell ref="J70:N70"/>
    <mergeCell ref="X74:X81"/>
    <mergeCell ref="X82:X89"/>
    <mergeCell ref="X90:X97"/>
    <mergeCell ref="P66:P73"/>
    <mergeCell ref="X66:X73"/>
    <mergeCell ref="M90:M91"/>
    <mergeCell ref="F89:M89"/>
    <mergeCell ref="I90:I91"/>
    <mergeCell ref="J90:J91"/>
    <mergeCell ref="K90:K91"/>
    <mergeCell ref="L90:L91"/>
    <mergeCell ref="F90:H90"/>
    <mergeCell ref="F91:H91"/>
    <mergeCell ref="P8:V8"/>
    <mergeCell ref="X8:AD8"/>
    <mergeCell ref="H8:N8"/>
    <mergeCell ref="P50:P57"/>
    <mergeCell ref="P58:P65"/>
    <mergeCell ref="X10:X17"/>
    <mergeCell ref="X18:X25"/>
    <mergeCell ref="X26:X33"/>
    <mergeCell ref="X34:X41"/>
    <mergeCell ref="X42:X49"/>
    <mergeCell ref="X50:X57"/>
    <mergeCell ref="J56:N56"/>
    <mergeCell ref="H26:H33"/>
    <mergeCell ref="H34:H41"/>
    <mergeCell ref="H42:H49"/>
    <mergeCell ref="H10:H1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27B96-481F-4BDB-9228-49EA271C89D1}">
  <sheetPr>
    <tabColor rgb="FFFFC000"/>
  </sheetPr>
  <dimension ref="B1:AL117"/>
  <sheetViews>
    <sheetView zoomScale="85" zoomScaleNormal="85" workbookViewId="0">
      <selection activeCell="R76" sqref="N71:R76"/>
    </sheetView>
  </sheetViews>
  <sheetFormatPr defaultColWidth="8.7109375" defaultRowHeight="15"/>
  <cols>
    <col min="2" max="2" width="32" customWidth="1"/>
    <col min="3" max="3" width="16.28515625" customWidth="1"/>
    <col min="6" max="6" width="43.140625" customWidth="1"/>
    <col min="7" max="7" width="20.7109375" customWidth="1"/>
    <col min="8" max="8" width="14.7109375" customWidth="1"/>
    <col min="9" max="9" width="15.7109375" customWidth="1"/>
    <col min="10" max="10" width="14.28515625" customWidth="1"/>
    <col min="11" max="11" width="16" customWidth="1"/>
    <col min="12" max="14" width="16.42578125" customWidth="1"/>
    <col min="15" max="15" width="17.42578125" customWidth="1"/>
    <col min="16" max="16" width="18.7109375" customWidth="1"/>
    <col min="17" max="17" width="16.42578125" customWidth="1"/>
    <col min="18" max="20" width="13.7109375" customWidth="1"/>
    <col min="21" max="21" width="16.42578125" customWidth="1"/>
    <col min="22" max="22" width="13.7109375" customWidth="1"/>
    <col min="23" max="23" width="15.85546875" customWidth="1"/>
    <col min="24" max="26" width="13.7109375" customWidth="1"/>
    <col min="27" max="27" width="15.42578125" customWidth="1"/>
    <col min="28" max="28" width="13.7109375" customWidth="1"/>
    <col min="29" max="29" width="14.85546875" customWidth="1"/>
    <col min="30" max="32" width="13.7109375" customWidth="1"/>
    <col min="33" max="33" width="14.7109375" customWidth="1"/>
    <col min="34" max="34" width="13.7109375" customWidth="1"/>
    <col min="35" max="35" width="16.28515625" customWidth="1"/>
    <col min="36" max="36" width="13.7109375" customWidth="1"/>
    <col min="37" max="37" width="15.140625" customWidth="1"/>
    <col min="38" max="38" width="16.42578125" customWidth="1"/>
  </cols>
  <sheetData>
    <row r="1" spans="2:38" s="258" customFormat="1" ht="22.9" customHeight="1">
      <c r="B1" s="259"/>
    </row>
    <row r="2" spans="2:38" s="258" customFormat="1" ht="22.9" customHeight="1">
      <c r="B2" s="259"/>
      <c r="C2" s="329" t="s">
        <v>369</v>
      </c>
      <c r="D2" s="260"/>
    </row>
    <row r="3" spans="2:38" s="258" customFormat="1" ht="22.9" customHeight="1">
      <c r="B3" s="259"/>
      <c r="C3" s="329" t="s">
        <v>381</v>
      </c>
      <c r="D3" s="260"/>
    </row>
    <row r="4" spans="2:38" s="258" customFormat="1" ht="22.9" customHeight="1">
      <c r="B4" s="259"/>
      <c r="C4" s="261"/>
    </row>
    <row r="5" spans="2:38" s="68" customFormat="1" ht="18" customHeight="1">
      <c r="B5" s="69"/>
      <c r="C5" s="70"/>
    </row>
    <row r="6" spans="2:38" ht="21" customHeight="1">
      <c r="J6" s="18"/>
    </row>
    <row r="7" spans="2:38">
      <c r="B7" s="167" t="s">
        <v>182</v>
      </c>
      <c r="C7" s="167"/>
      <c r="J7" s="18"/>
    </row>
    <row r="8" spans="2:38" ht="19.5" customHeight="1">
      <c r="B8" s="367" t="s">
        <v>351</v>
      </c>
      <c r="C8" s="168" t="s">
        <v>183</v>
      </c>
      <c r="F8" s="696" t="s">
        <v>184</v>
      </c>
      <c r="G8" s="697"/>
      <c r="H8" s="169">
        <f>Dashboard!D12</f>
        <v>2</v>
      </c>
      <c r="J8" s="18"/>
    </row>
    <row r="9" spans="2:38">
      <c r="B9" s="527" t="s">
        <v>185</v>
      </c>
      <c r="C9" s="525">
        <v>3500</v>
      </c>
    </row>
    <row r="10" spans="2:38" ht="15" customHeight="1">
      <c r="B10" s="528" t="s">
        <v>186</v>
      </c>
      <c r="C10" s="526">
        <v>4000</v>
      </c>
      <c r="X10" s="22"/>
      <c r="Y10" s="22"/>
      <c r="Z10" s="22"/>
      <c r="AA10" s="171"/>
      <c r="AB10" s="171"/>
      <c r="AC10" s="19"/>
      <c r="AD10" s="19"/>
      <c r="AE10" s="19"/>
      <c r="AF10" s="19"/>
    </row>
    <row r="11" spans="2:38" ht="15.75" customHeight="1">
      <c r="B11" s="528" t="s">
        <v>187</v>
      </c>
      <c r="C11" s="526">
        <v>5000</v>
      </c>
      <c r="I11" s="699" t="s">
        <v>188</v>
      </c>
      <c r="J11" s="700"/>
      <c r="K11" s="700"/>
      <c r="L11" s="700"/>
      <c r="M11" s="700"/>
      <c r="N11" s="700"/>
      <c r="O11" s="701"/>
      <c r="P11" s="701"/>
      <c r="Q11" s="701"/>
      <c r="R11" s="701"/>
      <c r="S11" s="701"/>
      <c r="T11" s="701"/>
      <c r="U11" s="701"/>
      <c r="V11" s="701"/>
      <c r="W11" s="701"/>
      <c r="X11" s="701"/>
      <c r="Y11" s="701"/>
      <c r="Z11" s="701"/>
      <c r="AA11" s="701"/>
      <c r="AB11" s="701"/>
      <c r="AC11" s="701"/>
      <c r="AD11" s="701"/>
      <c r="AE11" s="701"/>
      <c r="AF11" s="701"/>
      <c r="AG11" s="701"/>
      <c r="AH11" s="701"/>
      <c r="AI11" s="701"/>
      <c r="AJ11" s="701"/>
      <c r="AK11" s="701"/>
      <c r="AL11" s="702"/>
    </row>
    <row r="12" spans="2:38" ht="17.25" customHeight="1">
      <c r="B12" s="528" t="s">
        <v>27</v>
      </c>
      <c r="C12" s="526">
        <v>3000</v>
      </c>
      <c r="I12" s="692" t="s">
        <v>11</v>
      </c>
      <c r="J12" s="693"/>
      <c r="K12" s="693"/>
      <c r="L12" s="693"/>
      <c r="M12" s="693"/>
      <c r="N12" s="693"/>
      <c r="O12" s="690" t="s">
        <v>12</v>
      </c>
      <c r="P12" s="691"/>
      <c r="Q12" s="691"/>
      <c r="R12" s="691"/>
      <c r="S12" s="691"/>
      <c r="T12" s="691"/>
      <c r="U12" s="690" t="s">
        <v>13</v>
      </c>
      <c r="V12" s="691"/>
      <c r="W12" s="691"/>
      <c r="X12" s="691"/>
      <c r="Y12" s="691"/>
      <c r="Z12" s="691"/>
      <c r="AA12" s="690" t="s">
        <v>14</v>
      </c>
      <c r="AB12" s="691"/>
      <c r="AC12" s="691"/>
      <c r="AD12" s="691"/>
      <c r="AE12" s="691"/>
      <c r="AF12" s="691"/>
      <c r="AG12" s="690" t="s">
        <v>15</v>
      </c>
      <c r="AH12" s="691"/>
      <c r="AI12" s="691"/>
      <c r="AJ12" s="691"/>
      <c r="AK12" s="691"/>
      <c r="AL12" s="698"/>
    </row>
    <row r="13" spans="2:38">
      <c r="B13" s="369"/>
      <c r="C13" s="170"/>
      <c r="F13" s="634"/>
      <c r="G13" s="634"/>
      <c r="I13" s="172" t="s">
        <v>23</v>
      </c>
      <c r="J13" s="27" t="s">
        <v>24</v>
      </c>
      <c r="K13" s="41" t="s">
        <v>62</v>
      </c>
      <c r="L13" s="42" t="s">
        <v>27</v>
      </c>
      <c r="M13" s="45"/>
      <c r="N13" s="46"/>
      <c r="O13" s="172" t="s">
        <v>23</v>
      </c>
      <c r="P13" s="27" t="s">
        <v>24</v>
      </c>
      <c r="Q13" s="41" t="s">
        <v>62</v>
      </c>
      <c r="R13" s="42" t="s">
        <v>27</v>
      </c>
      <c r="S13" s="45"/>
      <c r="T13" s="46"/>
      <c r="U13" s="172" t="s">
        <v>23</v>
      </c>
      <c r="V13" s="27" t="s">
        <v>24</v>
      </c>
      <c r="W13" s="41" t="s">
        <v>62</v>
      </c>
      <c r="X13" s="42" t="s">
        <v>27</v>
      </c>
      <c r="Y13" s="45"/>
      <c r="Z13" s="46"/>
      <c r="AA13" s="172" t="s">
        <v>23</v>
      </c>
      <c r="AB13" s="27" t="s">
        <v>24</v>
      </c>
      <c r="AC13" s="41" t="s">
        <v>62</v>
      </c>
      <c r="AD13" s="42" t="s">
        <v>27</v>
      </c>
      <c r="AE13" s="45"/>
      <c r="AF13" s="46"/>
      <c r="AG13" s="172" t="s">
        <v>23</v>
      </c>
      <c r="AH13" s="27" t="s">
        <v>24</v>
      </c>
      <c r="AI13" s="41" t="s">
        <v>62</v>
      </c>
      <c r="AJ13" s="42" t="s">
        <v>27</v>
      </c>
      <c r="AK13" s="45"/>
      <c r="AL13" s="46"/>
    </row>
    <row r="14" spans="2:38">
      <c r="B14" s="368"/>
      <c r="C14" s="173"/>
      <c r="I14" s="356">
        <f>'INITIAL DATA'!D33</f>
        <v>18491088.262868796</v>
      </c>
      <c r="J14" s="292">
        <f>'INITIAL DATA'!D34</f>
        <v>5487382.1807059031</v>
      </c>
      <c r="K14" s="292">
        <f>'INITIAL DATA'!D35</f>
        <v>199775567.98564446</v>
      </c>
      <c r="L14" s="292">
        <f>'INITIAL DATA'!D36</f>
        <v>16603963.865195755</v>
      </c>
      <c r="M14" s="370">
        <f>'INITIAL DATA'!D37</f>
        <v>0</v>
      </c>
      <c r="N14" s="371">
        <f>'INITIAL DATA'!D38</f>
        <v>0</v>
      </c>
      <c r="O14" s="356">
        <f>'INITIAL DATA'!H33</f>
        <v>21568005.349810164</v>
      </c>
      <c r="P14" s="292">
        <f>'INITIAL DATA'!H34</f>
        <v>6400482.5755753666</v>
      </c>
      <c r="Q14" s="292">
        <f>'INITIAL DATA'!H35</f>
        <v>215757613.42449602</v>
      </c>
      <c r="R14" s="292">
        <f>'INITIAL DATA'!H36</f>
        <v>19366863.452364329</v>
      </c>
      <c r="S14" s="357">
        <f>'INITIAL DATA'!H37</f>
        <v>0</v>
      </c>
      <c r="T14" s="372">
        <f>'INITIAL DATA'!H38</f>
        <v>0</v>
      </c>
      <c r="U14" s="356">
        <f>'INITIAL DATA'!L33</f>
        <v>24436550.061334919</v>
      </c>
      <c r="V14" s="292">
        <f>'INITIAL DATA'!L34</f>
        <v>7251746.7581268921</v>
      </c>
      <c r="W14" s="292">
        <f>'INITIAL DATA'!L35</f>
        <v>217785734.9906863</v>
      </c>
      <c r="X14" s="292">
        <f>'INITIAL DATA'!L36</f>
        <v>21942656.291528787</v>
      </c>
      <c r="Y14" s="357">
        <f>'INITIAL DATA'!L37</f>
        <v>0</v>
      </c>
      <c r="Z14" s="372">
        <f>'INITIAL DATA'!L38</f>
        <v>0</v>
      </c>
      <c r="AA14" s="356">
        <f>'INITIAL DATA'!P33</f>
        <v>26655388.806904133</v>
      </c>
      <c r="AB14" s="292">
        <f>'INITIAL DATA'!P34</f>
        <v>7910205.3637648141</v>
      </c>
      <c r="AC14" s="292">
        <f>'INITIAL DATA'!P35</f>
        <v>215564320.4937813</v>
      </c>
      <c r="AD14" s="292">
        <f>'INITIAL DATA'!P36</f>
        <v>23935049.482799605</v>
      </c>
      <c r="AE14" s="357">
        <f>'INITIAL DATA'!P37</f>
        <v>0</v>
      </c>
      <c r="AF14" s="372">
        <f>'INITIAL DATA'!P38</f>
        <v>0</v>
      </c>
      <c r="AG14" s="356">
        <f>'INITIAL DATA'!T33</f>
        <v>28592569.188445892</v>
      </c>
      <c r="AH14" s="292">
        <f>'INITIAL DATA'!T34</f>
        <v>8485079.5385764223</v>
      </c>
      <c r="AI14" s="292">
        <f>'INITIAL DATA'!T35</f>
        <v>207459102.0432151</v>
      </c>
      <c r="AJ14" s="292">
        <f>'INITIAL DATA'!T36</f>
        <v>25194631.461831935</v>
      </c>
      <c r="AK14" s="292">
        <f>'INITIAL DATA'!T37</f>
        <v>0</v>
      </c>
      <c r="AL14" s="373">
        <f>'INITIAL DATA'!T38</f>
        <v>0</v>
      </c>
    </row>
    <row r="15" spans="2:38" ht="15" customHeight="1"/>
    <row r="16" spans="2:38" ht="15" customHeight="1"/>
    <row r="17" spans="2:38" ht="15" customHeight="1"/>
    <row r="18" spans="2:38" ht="15" customHeight="1">
      <c r="I18" s="694" t="s">
        <v>189</v>
      </c>
      <c r="J18" s="694"/>
      <c r="K18" s="694"/>
      <c r="L18" s="694"/>
      <c r="M18" s="694"/>
      <c r="N18" s="694"/>
      <c r="O18" s="694"/>
      <c r="P18" s="694"/>
      <c r="Q18" s="694"/>
      <c r="R18" s="694"/>
      <c r="S18" s="694"/>
      <c r="T18" s="694"/>
      <c r="U18" s="694"/>
      <c r="V18" s="694"/>
      <c r="W18" s="694"/>
      <c r="X18" s="694"/>
      <c r="Y18" s="694"/>
      <c r="Z18" s="694"/>
      <c r="AA18" s="694"/>
      <c r="AB18" s="694"/>
      <c r="AC18" s="694"/>
      <c r="AD18" s="694"/>
      <c r="AE18" s="694"/>
      <c r="AF18" s="694"/>
      <c r="AG18" s="694"/>
      <c r="AH18" s="694"/>
      <c r="AI18" s="694"/>
      <c r="AJ18" s="694"/>
      <c r="AK18" s="694"/>
      <c r="AL18" s="694"/>
    </row>
    <row r="19" spans="2:38" ht="15" customHeight="1">
      <c r="I19" s="694"/>
      <c r="J19" s="694"/>
      <c r="K19" s="694"/>
      <c r="L19" s="694"/>
      <c r="M19" s="694"/>
      <c r="N19" s="694"/>
      <c r="O19" s="694"/>
      <c r="P19" s="694"/>
      <c r="Q19" s="694"/>
      <c r="R19" s="694"/>
      <c r="S19" s="694"/>
      <c r="T19" s="694"/>
      <c r="U19" s="694"/>
      <c r="V19" s="694"/>
      <c r="W19" s="694"/>
      <c r="X19" s="694"/>
      <c r="Y19" s="694"/>
      <c r="Z19" s="694"/>
      <c r="AA19" s="694"/>
      <c r="AB19" s="694"/>
      <c r="AC19" s="694"/>
      <c r="AD19" s="694"/>
      <c r="AE19" s="694"/>
      <c r="AF19" s="694"/>
      <c r="AG19" s="694"/>
      <c r="AH19" s="694"/>
      <c r="AI19" s="694"/>
      <c r="AJ19" s="694"/>
      <c r="AK19" s="694"/>
      <c r="AL19" s="694"/>
    </row>
    <row r="20" spans="2:38" ht="15" customHeight="1">
      <c r="F20" s="174"/>
      <c r="G20" s="174"/>
      <c r="H20" s="174"/>
      <c r="I20" s="688" t="s">
        <v>11</v>
      </c>
      <c r="J20" s="688"/>
      <c r="K20" s="688"/>
      <c r="L20" s="688"/>
      <c r="M20" s="688"/>
      <c r="N20" s="688"/>
      <c r="O20" s="688" t="s">
        <v>12</v>
      </c>
      <c r="P20" s="688"/>
      <c r="Q20" s="688"/>
      <c r="R20" s="688"/>
      <c r="S20" s="688"/>
      <c r="T20" s="688"/>
      <c r="U20" s="688" t="s">
        <v>13</v>
      </c>
      <c r="V20" s="688"/>
      <c r="W20" s="688"/>
      <c r="X20" s="688"/>
      <c r="Y20" s="688"/>
      <c r="Z20" s="688"/>
      <c r="AA20" s="688" t="s">
        <v>14</v>
      </c>
      <c r="AB20" s="688"/>
      <c r="AC20" s="688"/>
      <c r="AD20" s="688"/>
      <c r="AE20" s="688"/>
      <c r="AF20" s="688"/>
      <c r="AG20" s="688" t="s">
        <v>15</v>
      </c>
      <c r="AH20" s="688"/>
      <c r="AI20" s="688"/>
      <c r="AJ20" s="688"/>
      <c r="AK20" s="688"/>
      <c r="AL20" s="688"/>
    </row>
    <row r="21" spans="2:38" ht="15" customHeight="1">
      <c r="F21" s="386" t="s">
        <v>190</v>
      </c>
      <c r="G21" s="387" t="s">
        <v>191</v>
      </c>
      <c r="H21" s="387" t="s">
        <v>192</v>
      </c>
      <c r="I21" s="209" t="s">
        <v>23</v>
      </c>
      <c r="J21" s="211" t="s">
        <v>24</v>
      </c>
      <c r="K21" s="234" t="s">
        <v>62</v>
      </c>
      <c r="L21" s="385" t="s">
        <v>27</v>
      </c>
      <c r="M21" s="378"/>
      <c r="N21" s="378"/>
      <c r="O21" s="209" t="s">
        <v>23</v>
      </c>
      <c r="P21" s="211" t="s">
        <v>24</v>
      </c>
      <c r="Q21" s="234" t="s">
        <v>62</v>
      </c>
      <c r="R21" s="385" t="s">
        <v>27</v>
      </c>
      <c r="S21" s="378"/>
      <c r="T21" s="378"/>
      <c r="U21" s="209" t="s">
        <v>23</v>
      </c>
      <c r="V21" s="211" t="s">
        <v>24</v>
      </c>
      <c r="W21" s="234" t="s">
        <v>62</v>
      </c>
      <c r="X21" s="385" t="s">
        <v>27</v>
      </c>
      <c r="Y21" s="378"/>
      <c r="Z21" s="378"/>
      <c r="AA21" s="209" t="s">
        <v>23</v>
      </c>
      <c r="AB21" s="211" t="s">
        <v>24</v>
      </c>
      <c r="AC21" s="234" t="s">
        <v>62</v>
      </c>
      <c r="AD21" s="385" t="s">
        <v>27</v>
      </c>
      <c r="AE21" s="378"/>
      <c r="AF21" s="378"/>
      <c r="AG21" s="209" t="s">
        <v>23</v>
      </c>
      <c r="AH21" s="211" t="s">
        <v>24</v>
      </c>
      <c r="AI21" s="234" t="s">
        <v>62</v>
      </c>
      <c r="AJ21" s="385" t="s">
        <v>27</v>
      </c>
      <c r="AK21" s="378"/>
      <c r="AL21" s="378"/>
    </row>
    <row r="22" spans="2:38" ht="15" customHeight="1">
      <c r="F22" s="388" t="str">
        <f>'Collection Scenario'!N13</f>
        <v>Province / Island A</v>
      </c>
      <c r="G22" s="389">
        <f>Questions!C11</f>
        <v>284326</v>
      </c>
      <c r="H22" s="374"/>
      <c r="I22" s="375" t="s">
        <v>193</v>
      </c>
      <c r="J22" s="375" t="s">
        <v>193</v>
      </c>
      <c r="K22" s="375" t="s">
        <v>193</v>
      </c>
      <c r="L22" s="375" t="s">
        <v>193</v>
      </c>
      <c r="M22" s="291"/>
      <c r="N22" s="291"/>
      <c r="O22" s="375" t="s">
        <v>193</v>
      </c>
      <c r="P22" s="375" t="s">
        <v>193</v>
      </c>
      <c r="Q22" s="375" t="s">
        <v>193</v>
      </c>
      <c r="R22" s="375" t="s">
        <v>193</v>
      </c>
      <c r="S22" s="291"/>
      <c r="T22" s="291"/>
      <c r="U22" s="375" t="s">
        <v>193</v>
      </c>
      <c r="V22" s="375" t="s">
        <v>193</v>
      </c>
      <c r="W22" s="375" t="s">
        <v>193</v>
      </c>
      <c r="X22" s="375" t="s">
        <v>193</v>
      </c>
      <c r="Y22" s="291"/>
      <c r="Z22" s="291"/>
      <c r="AA22" s="375" t="s">
        <v>193</v>
      </c>
      <c r="AB22" s="375" t="s">
        <v>193</v>
      </c>
      <c r="AC22" s="375" t="s">
        <v>193</v>
      </c>
      <c r="AD22" s="375" t="s">
        <v>193</v>
      </c>
      <c r="AE22" s="291"/>
      <c r="AF22" s="291"/>
      <c r="AG22" s="375" t="s">
        <v>193</v>
      </c>
      <c r="AH22" s="375" t="s">
        <v>193</v>
      </c>
      <c r="AI22" s="375" t="s">
        <v>193</v>
      </c>
      <c r="AJ22" s="375" t="s">
        <v>193</v>
      </c>
      <c r="AK22" s="291"/>
      <c r="AL22" s="291"/>
    </row>
    <row r="23" spans="2:38" ht="15" customHeight="1">
      <c r="F23" s="174" t="s">
        <v>324</v>
      </c>
      <c r="G23" s="175">
        <f>G22</f>
        <v>284326</v>
      </c>
      <c r="H23" s="376">
        <f>G23/$G$43</f>
        <v>0.39410081016834037</v>
      </c>
      <c r="I23" s="375">
        <f>I$14*$H23</f>
        <v>7287352.8652908821</v>
      </c>
      <c r="J23" s="375">
        <f>J$14*$H23</f>
        <v>2162581.7631195108</v>
      </c>
      <c r="K23" s="375">
        <f t="shared" ref="K23:L23" si="0">K$14*$H23</f>
        <v>78731713.194982842</v>
      </c>
      <c r="L23" s="375">
        <f t="shared" si="0"/>
        <v>6543635.6112794951</v>
      </c>
      <c r="M23" s="375">
        <f t="shared" ref="M23:N23" si="1">M$14*$G$16*$H23</f>
        <v>0</v>
      </c>
      <c r="N23" s="375">
        <f t="shared" si="1"/>
        <v>0</v>
      </c>
      <c r="O23" s="375">
        <f>O14*$H23</f>
        <v>8499968.3820752855</v>
      </c>
      <c r="P23" s="375">
        <f t="shared" ref="P23:AL23" si="2">P14*$H23</f>
        <v>2522435.3685025978</v>
      </c>
      <c r="Q23" s="375">
        <f t="shared" si="2"/>
        <v>85030250.250581473</v>
      </c>
      <c r="R23" s="375">
        <f t="shared" si="2"/>
        <v>7632496.5769964037</v>
      </c>
      <c r="S23" s="375">
        <f t="shared" si="2"/>
        <v>0</v>
      </c>
      <c r="T23" s="375">
        <f t="shared" si="2"/>
        <v>0</v>
      </c>
      <c r="U23" s="375">
        <f t="shared" si="2"/>
        <v>9630464.176891299</v>
      </c>
      <c r="V23" s="375">
        <f t="shared" si="2"/>
        <v>2857919.2725134441</v>
      </c>
      <c r="W23" s="375">
        <f t="shared" si="2"/>
        <v>85829534.602936938</v>
      </c>
      <c r="X23" s="375">
        <f t="shared" si="2"/>
        <v>8647618.621736927</v>
      </c>
      <c r="Y23" s="375">
        <f t="shared" si="2"/>
        <v>0</v>
      </c>
      <c r="Z23" s="375">
        <f t="shared" si="2"/>
        <v>0</v>
      </c>
      <c r="AA23" s="375">
        <f t="shared" si="2"/>
        <v>10504910.32415303</v>
      </c>
      <c r="AB23" s="375">
        <f t="shared" si="2"/>
        <v>3117418.3424576647</v>
      </c>
      <c r="AC23" s="375">
        <f t="shared" si="2"/>
        <v>84954073.349986985</v>
      </c>
      <c r="AD23" s="375">
        <f t="shared" si="2"/>
        <v>9432822.3925906401</v>
      </c>
      <c r="AE23" s="375">
        <f t="shared" si="2"/>
        <v>0</v>
      </c>
      <c r="AF23" s="375">
        <f t="shared" si="2"/>
        <v>0</v>
      </c>
      <c r="AG23" s="375">
        <f t="shared" si="2"/>
        <v>11268354.681960853</v>
      </c>
      <c r="AH23" s="375">
        <f t="shared" si="2"/>
        <v>3343976.7204957758</v>
      </c>
      <c r="AI23" s="375">
        <f t="shared" si="2"/>
        <v>81759800.192027465</v>
      </c>
      <c r="AJ23" s="375">
        <f t="shared" si="2"/>
        <v>9929224.6710007228</v>
      </c>
      <c r="AK23" s="375">
        <f t="shared" si="2"/>
        <v>0</v>
      </c>
      <c r="AL23" s="375">
        <f t="shared" si="2"/>
        <v>0</v>
      </c>
    </row>
    <row r="24" spans="2:38" ht="15" customHeight="1">
      <c r="F24" s="390" t="str">
        <f>'Collection Scenario'!N15</f>
        <v>Province / Island B</v>
      </c>
      <c r="G24" s="391">
        <f>Questions!C12</f>
        <v>173347</v>
      </c>
      <c r="H24" s="376"/>
      <c r="I24" s="375"/>
      <c r="J24" s="375"/>
      <c r="K24" s="375"/>
      <c r="L24" s="375"/>
      <c r="M24" s="377"/>
      <c r="N24" s="377"/>
      <c r="O24" s="375"/>
      <c r="P24" s="375"/>
      <c r="Q24" s="375"/>
      <c r="R24" s="375"/>
      <c r="S24" s="377"/>
      <c r="T24" s="377"/>
      <c r="U24" s="375"/>
      <c r="V24" s="375"/>
      <c r="W24" s="375"/>
      <c r="X24" s="375"/>
      <c r="Y24" s="377"/>
      <c r="Z24" s="377"/>
      <c r="AA24" s="375"/>
      <c r="AB24" s="375"/>
      <c r="AC24" s="375"/>
      <c r="AD24" s="375"/>
      <c r="AE24" s="377"/>
      <c r="AF24" s="377"/>
      <c r="AG24" s="375"/>
      <c r="AH24" s="375"/>
      <c r="AI24" s="375"/>
      <c r="AJ24" s="375"/>
      <c r="AK24" s="377"/>
      <c r="AL24" s="377"/>
    </row>
    <row r="25" spans="2:38" ht="15" customHeight="1">
      <c r="F25" s="174" t="str">
        <f>'Collection Scenario'!O15</f>
        <v>Community C</v>
      </c>
      <c r="G25" s="175">
        <f>G24</f>
        <v>173347</v>
      </c>
      <c r="H25" s="376">
        <f>G25/$G$43</f>
        <v>0.24027416817403718</v>
      </c>
      <c r="I25" s="375">
        <f>I$14*$H25</f>
        <v>4442930.850993502</v>
      </c>
      <c r="J25" s="375">
        <f t="shared" ref="J25:L25" si="3">J$14*$H25</f>
        <v>1318476.1889221452</v>
      </c>
      <c r="K25" s="375">
        <f t="shared" si="3"/>
        <v>48000908.419246532</v>
      </c>
      <c r="L25" s="375">
        <f t="shared" si="3"/>
        <v>3989503.6061016815</v>
      </c>
      <c r="M25" s="375">
        <f t="shared" ref="M25:N25" si="4">M$14*$G$15*$H25</f>
        <v>0</v>
      </c>
      <c r="N25" s="375">
        <f t="shared" si="4"/>
        <v>0</v>
      </c>
      <c r="O25" s="375">
        <f>O14*$H$25</f>
        <v>5182234.5445988216</v>
      </c>
      <c r="P25" s="375">
        <f t="shared" ref="P25:AL25" si="5">P14*$H$25</f>
        <v>1537870.6267587903</v>
      </c>
      <c r="Q25" s="375">
        <f t="shared" si="5"/>
        <v>51840981.09278626</v>
      </c>
      <c r="R25" s="375">
        <f t="shared" si="5"/>
        <v>4653357.0061570015</v>
      </c>
      <c r="S25" s="375">
        <f t="shared" si="5"/>
        <v>0</v>
      </c>
      <c r="T25" s="375">
        <f t="shared" si="5"/>
        <v>0</v>
      </c>
      <c r="U25" s="375">
        <f t="shared" si="5"/>
        <v>5871471.7390304655</v>
      </c>
      <c r="V25" s="375">
        <f t="shared" si="5"/>
        <v>1742407.4201177098</v>
      </c>
      <c r="W25" s="375">
        <f t="shared" si="5"/>
        <v>52328286.315058455</v>
      </c>
      <c r="X25" s="375">
        <f t="shared" si="5"/>
        <v>5272253.4879758833</v>
      </c>
      <c r="Y25" s="375">
        <f t="shared" si="5"/>
        <v>0</v>
      </c>
      <c r="Z25" s="375">
        <f t="shared" si="5"/>
        <v>0</v>
      </c>
      <c r="AA25" s="375">
        <f t="shared" si="5"/>
        <v>6404601.3729344318</v>
      </c>
      <c r="AB25" s="375">
        <f t="shared" si="5"/>
        <v>1900618.013864398</v>
      </c>
      <c r="AC25" s="375">
        <f t="shared" si="5"/>
        <v>51794537.794644855</v>
      </c>
      <c r="AD25" s="375">
        <f t="shared" si="5"/>
        <v>5750974.104684094</v>
      </c>
      <c r="AE25" s="375">
        <f t="shared" si="5"/>
        <v>0</v>
      </c>
      <c r="AF25" s="375">
        <f t="shared" si="5"/>
        <v>0</v>
      </c>
      <c r="AG25" s="375">
        <f t="shared" si="5"/>
        <v>6870055.777712442</v>
      </c>
      <c r="AH25" s="375">
        <f t="shared" si="5"/>
        <v>2038745.428021993</v>
      </c>
      <c r="AI25" s="375">
        <f t="shared" si="5"/>
        <v>49847063.173566207</v>
      </c>
      <c r="AJ25" s="375">
        <f t="shared" si="5"/>
        <v>6053619.1169430949</v>
      </c>
      <c r="AK25" s="375">
        <f t="shared" si="5"/>
        <v>0</v>
      </c>
      <c r="AL25" s="375">
        <f t="shared" si="5"/>
        <v>0</v>
      </c>
    </row>
    <row r="26" spans="2:38" ht="15" customHeight="1">
      <c r="B26" s="703" t="s">
        <v>194</v>
      </c>
      <c r="C26" s="703"/>
      <c r="F26" s="392" t="str">
        <f>'Collection Scenario'!N16</f>
        <v>Province / Island B</v>
      </c>
      <c r="G26" s="393">
        <f>Questions!C13</f>
        <v>94209</v>
      </c>
      <c r="H26" s="376"/>
      <c r="I26" s="375"/>
      <c r="J26" s="375"/>
      <c r="K26" s="375"/>
      <c r="L26" s="375"/>
      <c r="M26" s="375"/>
      <c r="N26" s="375"/>
      <c r="O26" s="375"/>
      <c r="P26" s="375"/>
      <c r="Q26" s="375"/>
      <c r="R26" s="375"/>
      <c r="S26" s="375"/>
      <c r="T26" s="375"/>
      <c r="U26" s="375"/>
      <c r="V26" s="375"/>
      <c r="W26" s="375"/>
      <c r="X26" s="375"/>
      <c r="Y26" s="375"/>
      <c r="Z26" s="375"/>
      <c r="AA26" s="375"/>
      <c r="AB26" s="375"/>
      <c r="AC26" s="375"/>
      <c r="AD26" s="375"/>
      <c r="AE26" s="375"/>
      <c r="AF26" s="375"/>
      <c r="AG26" s="375"/>
      <c r="AH26" s="375"/>
      <c r="AI26" s="375"/>
      <c r="AJ26" s="375"/>
      <c r="AK26" s="375"/>
      <c r="AL26" s="375"/>
    </row>
    <row r="27" spans="2:38" ht="15" customHeight="1">
      <c r="B27" s="703"/>
      <c r="C27" s="703"/>
      <c r="F27" s="174" t="s">
        <v>353</v>
      </c>
      <c r="G27" s="175">
        <f>G26</f>
        <v>94209</v>
      </c>
      <c r="H27" s="376">
        <f>G27/$G$43</f>
        <v>0.13058194897810674</v>
      </c>
      <c r="I27" s="375">
        <f>I$14*$H27</f>
        <v>2414602.3440916012</v>
      </c>
      <c r="J27" s="375">
        <f t="shared" ref="J27:AL27" si="6">J$14*$H27</f>
        <v>716553.05994431034</v>
      </c>
      <c r="K27" s="375">
        <f t="shared" si="6"/>
        <v>26087083.025773719</v>
      </c>
      <c r="L27" s="375">
        <f t="shared" si="6"/>
        <v>2168177.9622793202</v>
      </c>
      <c r="M27" s="375">
        <f t="shared" si="6"/>
        <v>0</v>
      </c>
      <c r="N27" s="375">
        <f t="shared" si="6"/>
        <v>0</v>
      </c>
      <c r="O27" s="375">
        <f t="shared" si="6"/>
        <v>2816392.1741484441</v>
      </c>
      <c r="P27" s="375">
        <f t="shared" si="6"/>
        <v>835787.48911904369</v>
      </c>
      <c r="Q27" s="375">
        <f t="shared" si="6"/>
        <v>28174049.667835616</v>
      </c>
      <c r="R27" s="375">
        <f t="shared" si="6"/>
        <v>2528962.7752025989</v>
      </c>
      <c r="S27" s="375">
        <f t="shared" si="6"/>
        <v>0</v>
      </c>
      <c r="T27" s="375">
        <f t="shared" si="6"/>
        <v>0</v>
      </c>
      <c r="U27" s="375">
        <f t="shared" si="6"/>
        <v>3190972.3333101873</v>
      </c>
      <c r="V27" s="375">
        <f t="shared" si="6"/>
        <v>946947.22517187672</v>
      </c>
      <c r="W27" s="375">
        <f t="shared" si="6"/>
        <v>28438885.734713275</v>
      </c>
      <c r="X27" s="375">
        <f t="shared" si="6"/>
        <v>2865314.8243045448</v>
      </c>
      <c r="Y27" s="375">
        <f t="shared" si="6"/>
        <v>0</v>
      </c>
      <c r="Z27" s="375">
        <f t="shared" si="6"/>
        <v>0</v>
      </c>
      <c r="AA27" s="375">
        <f t="shared" si="6"/>
        <v>3480712.6211747532</v>
      </c>
      <c r="AB27" s="375">
        <f t="shared" si="6"/>
        <v>1032930.0332174832</v>
      </c>
      <c r="AC27" s="375">
        <f t="shared" si="6"/>
        <v>28148809.100219198</v>
      </c>
      <c r="AD27" s="375">
        <f t="shared" si="6"/>
        <v>3125485.4103513979</v>
      </c>
      <c r="AE27" s="375">
        <f t="shared" si="6"/>
        <v>0</v>
      </c>
      <c r="AF27" s="375">
        <f t="shared" si="6"/>
        <v>0</v>
      </c>
      <c r="AG27" s="375">
        <f t="shared" si="6"/>
        <v>3733673.4109186283</v>
      </c>
      <c r="AH27" s="375">
        <f t="shared" si="6"/>
        <v>1107998.2233815638</v>
      </c>
      <c r="AI27" s="375">
        <f t="shared" si="6"/>
        <v>27090413.878050953</v>
      </c>
      <c r="AJ27" s="375">
        <f t="shared" si="6"/>
        <v>3289964.0800711405</v>
      </c>
      <c r="AK27" s="375">
        <f t="shared" si="6"/>
        <v>0</v>
      </c>
      <c r="AL27" s="375">
        <f t="shared" si="6"/>
        <v>0</v>
      </c>
    </row>
    <row r="28" spans="2:38" ht="15" customHeight="1">
      <c r="B28" s="409" t="str">
        <f>Questions!B67</f>
        <v>COMMUNITY G - COMMUNITY A</v>
      </c>
      <c r="C28" s="66">
        <f>Questions!C67</f>
        <v>40</v>
      </c>
      <c r="F28" s="394" t="str">
        <f>'Collection Scenario'!N18</f>
        <v>Province / Island D</v>
      </c>
      <c r="G28" s="395">
        <f>Questions!C14</f>
        <v>22132</v>
      </c>
      <c r="H28" s="376"/>
      <c r="I28" s="375"/>
      <c r="J28" s="375"/>
      <c r="K28" s="375"/>
      <c r="L28" s="375"/>
      <c r="M28" s="375"/>
      <c r="N28" s="375"/>
      <c r="O28" s="375"/>
      <c r="P28" s="375"/>
      <c r="Q28" s="375"/>
      <c r="R28" s="375"/>
      <c r="S28" s="375"/>
      <c r="T28" s="375"/>
      <c r="U28" s="375"/>
      <c r="V28" s="375"/>
      <c r="W28" s="375"/>
      <c r="X28" s="375"/>
      <c r="Y28" s="375"/>
      <c r="Z28" s="375"/>
      <c r="AA28" s="375"/>
      <c r="AB28" s="375"/>
      <c r="AC28" s="375"/>
      <c r="AD28" s="375"/>
      <c r="AE28" s="375"/>
      <c r="AF28" s="375"/>
      <c r="AG28" s="375"/>
      <c r="AH28" s="375"/>
      <c r="AI28" s="375"/>
      <c r="AJ28" s="375"/>
      <c r="AK28" s="375"/>
      <c r="AL28" s="375"/>
    </row>
    <row r="29" spans="2:38" ht="15" customHeight="1">
      <c r="B29" s="409" t="str">
        <f>Questions!B68</f>
        <v>COMMUNITY H - COMMUNITY A</v>
      </c>
      <c r="C29" s="66">
        <f>Questions!C68</f>
        <v>40</v>
      </c>
      <c r="F29" s="174" t="str">
        <f>'Collection Scenario'!O18</f>
        <v>Community F</v>
      </c>
      <c r="G29" s="175">
        <f>G28</f>
        <v>22132</v>
      </c>
      <c r="H29" s="376">
        <f>G29/$G$43</f>
        <v>3.0676895994899197E-2</v>
      </c>
      <c r="I29" s="375">
        <f>I$14*$H29</f>
        <v>567249.19147252734</v>
      </c>
      <c r="J29" s="375">
        <f t="shared" ref="J29:L29" si="7">J$14*$H29</f>
        <v>168335.85244177814</v>
      </c>
      <c r="K29" s="375">
        <f t="shared" si="7"/>
        <v>6128494.3214175291</v>
      </c>
      <c r="L29" s="375">
        <f t="shared" si="7"/>
        <v>509358.07259567466</v>
      </c>
      <c r="M29" s="375">
        <f t="shared" ref="M29:N39" si="8">M$14*$G$16*$H29</f>
        <v>0</v>
      </c>
      <c r="N29" s="375">
        <f t="shared" si="8"/>
        <v>0</v>
      </c>
      <c r="O29" s="375">
        <f t="shared" ref="O29:AL29" si="9">O14*$H$29</f>
        <v>661639.45693355589</v>
      </c>
      <c r="P29" s="375">
        <f t="shared" si="9"/>
        <v>196346.93828809005</v>
      </c>
      <c r="Q29" s="375">
        <f t="shared" si="9"/>
        <v>6618773.8671309315</v>
      </c>
      <c r="R29" s="375">
        <f t="shared" si="9"/>
        <v>594115.25587559491</v>
      </c>
      <c r="S29" s="375">
        <f t="shared" si="9"/>
        <v>0</v>
      </c>
      <c r="T29" s="375">
        <f t="shared" si="9"/>
        <v>0</v>
      </c>
      <c r="U29" s="375">
        <f t="shared" si="9"/>
        <v>749637.50470571895</v>
      </c>
      <c r="V29" s="375">
        <f t="shared" si="9"/>
        <v>222461.08108040609</v>
      </c>
      <c r="W29" s="375">
        <f t="shared" si="9"/>
        <v>6680990.3414819622</v>
      </c>
      <c r="X29" s="375">
        <f t="shared" si="9"/>
        <v>673132.58490704908</v>
      </c>
      <c r="Y29" s="375">
        <f t="shared" si="9"/>
        <v>0</v>
      </c>
      <c r="Z29" s="375">
        <f t="shared" si="9"/>
        <v>0</v>
      </c>
      <c r="AA29" s="375">
        <f t="shared" si="9"/>
        <v>817704.5901329983</v>
      </c>
      <c r="AB29" s="375">
        <f t="shared" si="9"/>
        <v>242660.54724250696</v>
      </c>
      <c r="AC29" s="375">
        <f t="shared" si="9"/>
        <v>6612844.2399988463</v>
      </c>
      <c r="AD29" s="375">
        <f t="shared" si="9"/>
        <v>734253.02361660928</v>
      </c>
      <c r="AE29" s="375">
        <f t="shared" si="9"/>
        <v>0</v>
      </c>
      <c r="AF29" s="375">
        <f t="shared" si="9"/>
        <v>0</v>
      </c>
      <c r="AG29" s="375">
        <f t="shared" si="9"/>
        <v>877131.27122091397</v>
      </c>
      <c r="AH29" s="375">
        <f t="shared" si="9"/>
        <v>260295.90251335618</v>
      </c>
      <c r="AI29" s="375">
        <f t="shared" si="9"/>
        <v>6364201.2965748888</v>
      </c>
      <c r="AJ29" s="375">
        <f t="shared" si="9"/>
        <v>772893.08898443333</v>
      </c>
      <c r="AK29" s="375">
        <f t="shared" si="9"/>
        <v>0</v>
      </c>
      <c r="AL29" s="375">
        <f t="shared" si="9"/>
        <v>0</v>
      </c>
    </row>
    <row r="30" spans="2:38" ht="28.5">
      <c r="B30" s="409" t="str">
        <f>Questions!B63</f>
        <v>COMMUNITY C - COMMUNITY A</v>
      </c>
      <c r="C30" s="66">
        <f>Questions!C63</f>
        <v>40</v>
      </c>
      <c r="F30" s="396" t="str">
        <f>'Collection Scenario'!N19</f>
        <v>Province / Island E</v>
      </c>
      <c r="G30" s="397">
        <f>Questions!C15</f>
        <v>30619</v>
      </c>
      <c r="H30" s="376"/>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75"/>
      <c r="AL30" s="375"/>
    </row>
    <row r="31" spans="2:38" ht="28.5">
      <c r="B31" s="409" t="str">
        <f>Questions!B71</f>
        <v>COMMUNITY K - COMMUNITY A</v>
      </c>
      <c r="C31" s="66">
        <f>Questions!C71</f>
        <v>40</v>
      </c>
      <c r="F31" s="174" t="str">
        <f>'Collection Scenario'!O19</f>
        <v>Community G</v>
      </c>
      <c r="G31" s="175">
        <f>G30</f>
        <v>30619</v>
      </c>
      <c r="H31" s="376">
        <f>G31/$G$43</f>
        <v>4.2440623462308806E-2</v>
      </c>
      <c r="I31" s="375">
        <f>I$14*$H31</f>
        <v>784773.31437273242</v>
      </c>
      <c r="J31" s="375">
        <f t="shared" ref="J31:L31" si="10">J$14*$H31</f>
        <v>232887.92092512222</v>
      </c>
      <c r="K31" s="375">
        <f t="shared" si="10"/>
        <v>8478599.6578476094</v>
      </c>
      <c r="L31" s="375">
        <f t="shared" si="10"/>
        <v>704682.5783845546</v>
      </c>
      <c r="M31" s="375">
        <f t="shared" si="8"/>
        <v>0</v>
      </c>
      <c r="N31" s="375">
        <f t="shared" si="8"/>
        <v>0</v>
      </c>
      <c r="O31" s="375">
        <f t="shared" ref="O31:AL31" si="11">O14*$H$31</f>
        <v>915359.59388435516</v>
      </c>
      <c r="P31" s="375">
        <f t="shared" si="11"/>
        <v>271640.47096706257</v>
      </c>
      <c r="Q31" s="375">
        <f t="shared" si="11"/>
        <v>9156887.6304754186</v>
      </c>
      <c r="R31" s="375">
        <f t="shared" si="11"/>
        <v>821941.75942774443</v>
      </c>
      <c r="S31" s="375">
        <f t="shared" si="11"/>
        <v>0</v>
      </c>
      <c r="T31" s="375">
        <f t="shared" si="11"/>
        <v>0</v>
      </c>
      <c r="U31" s="375">
        <f t="shared" si="11"/>
        <v>1037102.4198709745</v>
      </c>
      <c r="V31" s="375">
        <f t="shared" si="11"/>
        <v>307768.65360568202</v>
      </c>
      <c r="W31" s="375">
        <f t="shared" si="11"/>
        <v>9242962.3742018882</v>
      </c>
      <c r="X31" s="375">
        <f t="shared" si="11"/>
        <v>931260.01343163464</v>
      </c>
      <c r="Y31" s="375">
        <f t="shared" si="11"/>
        <v>0</v>
      </c>
      <c r="Z31" s="375">
        <f t="shared" si="11"/>
        <v>0</v>
      </c>
      <c r="AA31" s="375">
        <f t="shared" si="11"/>
        <v>1131271.3195952591</v>
      </c>
      <c r="AB31" s="375">
        <f t="shared" si="11"/>
        <v>335714.04735307791</v>
      </c>
      <c r="AC31" s="375">
        <f t="shared" si="11"/>
        <v>9148684.1579850297</v>
      </c>
      <c r="AD31" s="375">
        <f t="shared" si="11"/>
        <v>1015818.4226512271</v>
      </c>
      <c r="AE31" s="375">
        <f t="shared" si="11"/>
        <v>0</v>
      </c>
      <c r="AF31" s="375">
        <f t="shared" si="11"/>
        <v>0</v>
      </c>
      <c r="AG31" s="375">
        <f t="shared" si="11"/>
        <v>1213486.4627468446</v>
      </c>
      <c r="AH31" s="375">
        <f t="shared" si="11"/>
        <v>360112.06574446289</v>
      </c>
      <c r="AI31" s="375">
        <f t="shared" si="11"/>
        <v>8804693.6336447913</v>
      </c>
      <c r="AJ31" s="375">
        <f t="shared" si="11"/>
        <v>1069275.867143248</v>
      </c>
      <c r="AK31" s="375">
        <f t="shared" si="11"/>
        <v>0</v>
      </c>
      <c r="AL31" s="375">
        <f t="shared" si="11"/>
        <v>0</v>
      </c>
    </row>
    <row r="32" spans="2:38">
      <c r="B32" s="409" t="str">
        <f>Questions!B70</f>
        <v>COMMUNITY J - COMMUNITY A</v>
      </c>
      <c r="C32" s="66">
        <f>Questions!C70</f>
        <v>40</v>
      </c>
      <c r="F32" s="398" t="str">
        <f>'Collection Scenario'!N20</f>
        <v>Province / Island F</v>
      </c>
      <c r="G32" s="399">
        <f>Questions!C16</f>
        <v>30399</v>
      </c>
      <c r="H32" s="376"/>
      <c r="I32" s="375"/>
      <c r="J32" s="375"/>
      <c r="K32" s="375"/>
      <c r="L32" s="375"/>
      <c r="M32" s="375"/>
      <c r="N32" s="375"/>
      <c r="O32" s="375"/>
      <c r="P32" s="375"/>
      <c r="Q32" s="375"/>
      <c r="R32" s="375"/>
      <c r="S32" s="375"/>
      <c r="T32" s="375"/>
      <c r="U32" s="375"/>
      <c r="V32" s="375"/>
      <c r="W32" s="375"/>
      <c r="X32" s="375"/>
      <c r="Y32" s="375"/>
      <c r="Z32" s="375"/>
      <c r="AA32" s="375"/>
      <c r="AB32" s="375"/>
      <c r="AC32" s="375"/>
      <c r="AD32" s="375"/>
      <c r="AE32" s="375"/>
      <c r="AF32" s="375"/>
      <c r="AG32" s="375"/>
      <c r="AH32" s="375"/>
      <c r="AI32" s="375"/>
      <c r="AJ32" s="375"/>
      <c r="AK32" s="375"/>
      <c r="AL32" s="375"/>
    </row>
    <row r="33" spans="2:38">
      <c r="B33" s="409" t="str">
        <f>Questions!B66</f>
        <v>COMMUNITY F - COMMUNITY A</v>
      </c>
      <c r="C33" s="66">
        <f>Questions!C66</f>
        <v>40</v>
      </c>
      <c r="F33" s="174" t="str">
        <f>'Collection Scenario'!O20</f>
        <v>Community H</v>
      </c>
      <c r="G33" s="175">
        <f>G32</f>
        <v>30399</v>
      </c>
      <c r="H33" s="376">
        <f>G33/$G$43</f>
        <v>4.2135684138303847E-2</v>
      </c>
      <c r="I33" s="375">
        <f>I$14*$H33</f>
        <v>779134.65441773715</v>
      </c>
      <c r="J33" s="375">
        <f t="shared" ref="J33:K33" si="12">J$14*$H33</f>
        <v>231214.60231238088</v>
      </c>
      <c r="K33" s="375">
        <f t="shared" si="12"/>
        <v>8417680.2311933618</v>
      </c>
      <c r="L33" s="375">
        <f>L$14*$H33</f>
        <v>699619.37686769897</v>
      </c>
      <c r="M33" s="375">
        <f t="shared" si="8"/>
        <v>0</v>
      </c>
      <c r="N33" s="375">
        <f t="shared" si="8"/>
        <v>0</v>
      </c>
      <c r="O33" s="375">
        <f t="shared" ref="O33:AL33" si="13">O14*$H$33</f>
        <v>908782.66091284866</v>
      </c>
      <c r="P33" s="375">
        <f t="shared" si="13"/>
        <v>269688.71213716111</v>
      </c>
      <c r="Q33" s="375">
        <f t="shared" si="13"/>
        <v>9091094.6496888306</v>
      </c>
      <c r="R33" s="375">
        <f t="shared" si="13"/>
        <v>816036.0411784841</v>
      </c>
      <c r="S33" s="375">
        <f t="shared" si="13"/>
        <v>0</v>
      </c>
      <c r="T33" s="375">
        <f t="shared" si="13"/>
        <v>0</v>
      </c>
      <c r="U33" s="375">
        <f t="shared" si="13"/>
        <v>1029650.7548142576</v>
      </c>
      <c r="V33" s="375">
        <f t="shared" si="13"/>
        <v>305557.31085140363</v>
      </c>
      <c r="W33" s="375">
        <f t="shared" si="13"/>
        <v>9176550.9393959064</v>
      </c>
      <c r="X33" s="375">
        <f t="shared" si="13"/>
        <v>924568.8346552226</v>
      </c>
      <c r="Y33" s="375">
        <f t="shared" si="13"/>
        <v>0</v>
      </c>
      <c r="Z33" s="375">
        <f t="shared" si="13"/>
        <v>0</v>
      </c>
      <c r="AA33" s="375">
        <f t="shared" si="13"/>
        <v>1123143.0433513925</v>
      </c>
      <c r="AB33" s="375">
        <f t="shared" si="13"/>
        <v>333301.91467671108</v>
      </c>
      <c r="AC33" s="375">
        <f t="shared" si="13"/>
        <v>9082950.1198140681</v>
      </c>
      <c r="AD33" s="375">
        <f t="shared" si="13"/>
        <v>1008519.684841917</v>
      </c>
      <c r="AE33" s="375">
        <f t="shared" si="13"/>
        <v>0</v>
      </c>
      <c r="AF33" s="375">
        <f t="shared" si="13"/>
        <v>0</v>
      </c>
      <c r="AG33" s="375">
        <f t="shared" si="13"/>
        <v>1204767.464026955</v>
      </c>
      <c r="AH33" s="375">
        <f t="shared" si="13"/>
        <v>357524.63132584107</v>
      </c>
      <c r="AI33" s="375">
        <f t="shared" si="13"/>
        <v>8741431.1953090578</v>
      </c>
      <c r="AJ33" s="375">
        <f t="shared" si="13"/>
        <v>1061593.0332567228</v>
      </c>
      <c r="AK33" s="375">
        <f t="shared" si="13"/>
        <v>0</v>
      </c>
      <c r="AL33" s="375">
        <f t="shared" si="13"/>
        <v>0</v>
      </c>
    </row>
    <row r="34" spans="2:38" ht="28.5">
      <c r="B34" s="409" t="str">
        <f>Questions!B64</f>
        <v>COMMUNITY D - COMMUNITY A</v>
      </c>
      <c r="C34" s="66">
        <f>Questions!C64</f>
        <v>40</v>
      </c>
      <c r="F34" s="400" t="str">
        <f>'Collection Scenario'!N21</f>
        <v>Province / Island G</v>
      </c>
      <c r="G34" s="401">
        <f>Questions!C17</f>
        <v>30326</v>
      </c>
      <c r="H34" s="376"/>
      <c r="I34" s="375"/>
      <c r="J34" s="375"/>
      <c r="K34" s="375"/>
      <c r="L34" s="375"/>
      <c r="M34" s="375"/>
      <c r="N34" s="375"/>
      <c r="O34" s="375"/>
      <c r="P34" s="375"/>
      <c r="Q34" s="375"/>
      <c r="R34" s="375"/>
      <c r="S34" s="375"/>
      <c r="T34" s="375"/>
      <c r="U34" s="375"/>
      <c r="V34" s="375"/>
      <c r="W34" s="375"/>
      <c r="X34" s="375"/>
      <c r="Y34" s="375"/>
      <c r="Z34" s="375"/>
      <c r="AA34" s="375"/>
      <c r="AB34" s="375"/>
      <c r="AC34" s="375"/>
      <c r="AD34" s="375"/>
      <c r="AE34" s="375"/>
      <c r="AF34" s="375"/>
      <c r="AG34" s="375"/>
      <c r="AH34" s="375"/>
      <c r="AI34" s="375"/>
      <c r="AJ34" s="375"/>
      <c r="AK34" s="375"/>
      <c r="AL34" s="375"/>
    </row>
    <row r="35" spans="2:38">
      <c r="B35" s="409" t="str">
        <f>Questions!B69</f>
        <v>COMMUNITY I - COMMUNITY A</v>
      </c>
      <c r="C35" s="66">
        <f>Questions!C69</f>
        <v>40</v>
      </c>
      <c r="F35" s="174" t="str">
        <f>'Collection Scenario'!O21</f>
        <v>Community I</v>
      </c>
      <c r="G35" s="175">
        <f>G34</f>
        <v>30326</v>
      </c>
      <c r="H35" s="376">
        <f>G35/$G$43</f>
        <v>4.2034499726247655E-2</v>
      </c>
      <c r="I35" s="375">
        <f>I$14*$H35</f>
        <v>777263.64452357963</v>
      </c>
      <c r="J35" s="375">
        <f t="shared" ref="J35:L35" si="14">J$14*$H35</f>
        <v>230659.36477269855</v>
      </c>
      <c r="K35" s="375">
        <f>K$14*$H35</f>
        <v>8397466.0578035414</v>
      </c>
      <c r="L35" s="375">
        <f t="shared" si="14"/>
        <v>697939.31454619695</v>
      </c>
      <c r="M35" s="375">
        <f t="shared" si="8"/>
        <v>0</v>
      </c>
      <c r="N35" s="375">
        <f t="shared" si="8"/>
        <v>0</v>
      </c>
      <c r="O35" s="375">
        <f t="shared" ref="O35:AL35" si="15">O14*$H$35</f>
        <v>906600.31497230334</v>
      </c>
      <c r="P35" s="375">
        <f t="shared" si="15"/>
        <v>269041.08307087561</v>
      </c>
      <c r="Q35" s="375">
        <f t="shared" si="15"/>
        <v>9069263.3424278256</v>
      </c>
      <c r="R35" s="375">
        <f t="shared" si="15"/>
        <v>814076.41648668412</v>
      </c>
      <c r="S35" s="375">
        <f t="shared" si="15"/>
        <v>0</v>
      </c>
      <c r="T35" s="375">
        <f t="shared" si="15"/>
        <v>0</v>
      </c>
      <c r="U35" s="375">
        <f t="shared" si="15"/>
        <v>1027178.1568636198</v>
      </c>
      <c r="V35" s="375">
        <f t="shared" si="15"/>
        <v>304823.54711930215</v>
      </c>
      <c r="W35" s="375">
        <f t="shared" si="15"/>
        <v>9154514.417846648</v>
      </c>
      <c r="X35" s="375">
        <f t="shared" si="15"/>
        <v>922348.57987941324</v>
      </c>
      <c r="Y35" s="375">
        <f t="shared" si="15"/>
        <v>0</v>
      </c>
      <c r="Z35" s="375">
        <f t="shared" si="15"/>
        <v>0</v>
      </c>
      <c r="AA35" s="375">
        <f t="shared" si="15"/>
        <v>1120445.9335068366</v>
      </c>
      <c r="AB35" s="375">
        <f t="shared" si="15"/>
        <v>332501.52519773482</v>
      </c>
      <c r="AC35" s="375">
        <f t="shared" si="15"/>
        <v>9061138.3707846124</v>
      </c>
      <c r="AD35" s="375">
        <f t="shared" si="15"/>
        <v>1006097.8309324641</v>
      </c>
      <c r="AE35" s="375">
        <f t="shared" si="15"/>
        <v>0</v>
      </c>
      <c r="AF35" s="375">
        <f t="shared" si="15"/>
        <v>0</v>
      </c>
      <c r="AG35" s="375">
        <f t="shared" si="15"/>
        <v>1201874.341724446</v>
      </c>
      <c r="AH35" s="375">
        <f t="shared" si="15"/>
        <v>356666.07354148017</v>
      </c>
      <c r="AI35" s="375">
        <f t="shared" si="15"/>
        <v>8720439.568043109</v>
      </c>
      <c r="AJ35" s="375">
        <f t="shared" si="15"/>
        <v>1059043.7292852851</v>
      </c>
      <c r="AK35" s="375">
        <f t="shared" si="15"/>
        <v>0</v>
      </c>
      <c r="AL35" s="375">
        <f t="shared" si="15"/>
        <v>0</v>
      </c>
    </row>
    <row r="36" spans="2:38">
      <c r="F36" s="402" t="str">
        <f>'Collection Scenario'!N22</f>
        <v>Province / Island H</v>
      </c>
      <c r="G36" s="403">
        <f>Questions!C18</f>
        <v>52006</v>
      </c>
      <c r="H36" s="376"/>
      <c r="I36" s="375"/>
      <c r="J36" s="375"/>
      <c r="K36" s="375"/>
      <c r="L36" s="375"/>
      <c r="M36" s="375"/>
      <c r="N36" s="375"/>
      <c r="O36" s="375"/>
      <c r="P36" s="375"/>
      <c r="Q36" s="375"/>
      <c r="R36" s="375"/>
      <c r="S36" s="375"/>
      <c r="T36" s="375"/>
      <c r="U36" s="375"/>
      <c r="V36" s="375"/>
      <c r="W36" s="375"/>
      <c r="X36" s="375"/>
      <c r="Y36" s="375"/>
      <c r="Z36" s="375"/>
      <c r="AA36" s="375"/>
      <c r="AB36" s="375"/>
      <c r="AC36" s="375"/>
      <c r="AD36" s="375"/>
      <c r="AE36" s="375"/>
      <c r="AF36" s="375"/>
      <c r="AG36" s="375"/>
      <c r="AH36" s="375"/>
      <c r="AI36" s="375"/>
      <c r="AJ36" s="375"/>
      <c r="AK36" s="375"/>
      <c r="AL36" s="375"/>
    </row>
    <row r="37" spans="2:38">
      <c r="F37" s="174" t="str">
        <f>'Collection Scenario'!O22</f>
        <v>Community J</v>
      </c>
      <c r="G37" s="175">
        <f>G36</f>
        <v>52006</v>
      </c>
      <c r="H37" s="376">
        <f>G37/$G$43</f>
        <v>7.2084884019100293E-2</v>
      </c>
      <c r="I37" s="375">
        <f>I$14*$H37</f>
        <v>1332927.9528158437</v>
      </c>
      <c r="J37" s="375">
        <f t="shared" ref="J37:L37" si="16">J$14*$H37</f>
        <v>395557.30806466268</v>
      </c>
      <c r="K37" s="375">
        <f t="shared" si="16"/>
        <v>14400798.648095066</v>
      </c>
      <c r="L37" s="375">
        <f t="shared" si="16"/>
        <v>1196894.8094799682</v>
      </c>
      <c r="M37" s="375">
        <f t="shared" ref="M37:N37" si="17">M$14*$G$14*$H37</f>
        <v>0</v>
      </c>
      <c r="N37" s="375">
        <f t="shared" si="17"/>
        <v>0</v>
      </c>
      <c r="O37" s="375">
        <f t="shared" ref="O37:AL37" si="18">O14*$H$37</f>
        <v>1554727.1641644004</v>
      </c>
      <c r="P37" s="375">
        <f t="shared" si="18"/>
        <v>461378.04412662261</v>
      </c>
      <c r="Q37" s="375">
        <f t="shared" si="18"/>
        <v>15552862.539942672</v>
      </c>
      <c r="R37" s="375">
        <f t="shared" si="18"/>
        <v>1396058.105777435</v>
      </c>
      <c r="S37" s="375">
        <f t="shared" si="18"/>
        <v>0</v>
      </c>
      <c r="T37" s="375">
        <f t="shared" si="18"/>
        <v>0</v>
      </c>
      <c r="U37" s="375">
        <f t="shared" si="18"/>
        <v>1761505.8769982657</v>
      </c>
      <c r="V37" s="375">
        <f t="shared" si="18"/>
        <v>522741.32399546355</v>
      </c>
      <c r="W37" s="375">
        <f t="shared" si="18"/>
        <v>15699059.447818134</v>
      </c>
      <c r="X37" s="375">
        <f t="shared" si="18"/>
        <v>1581733.833845834</v>
      </c>
      <c r="Y37" s="375">
        <f t="shared" si="18"/>
        <v>0</v>
      </c>
      <c r="Z37" s="375">
        <f t="shared" si="18"/>
        <v>0</v>
      </c>
      <c r="AA37" s="375">
        <f t="shared" si="18"/>
        <v>1921450.6106297085</v>
      </c>
      <c r="AB37" s="375">
        <f t="shared" si="18"/>
        <v>570206.23621425172</v>
      </c>
      <c r="AC37" s="375">
        <f t="shared" si="18"/>
        <v>15538929.041450389</v>
      </c>
      <c r="AD37" s="375">
        <f t="shared" si="18"/>
        <v>1725355.2659590358</v>
      </c>
      <c r="AE37" s="375">
        <f t="shared" si="18"/>
        <v>0</v>
      </c>
      <c r="AF37" s="375">
        <f t="shared" si="18"/>
        <v>0</v>
      </c>
      <c r="AG37" s="375">
        <f t="shared" si="18"/>
        <v>2061092.0337572228</v>
      </c>
      <c r="AH37" s="375">
        <f t="shared" si="18"/>
        <v>611645.97443112242</v>
      </c>
      <c r="AI37" s="375">
        <f t="shared" si="18"/>
        <v>14954665.309491852</v>
      </c>
      <c r="AJ37" s="375">
        <f t="shared" si="18"/>
        <v>1816152.0868301303</v>
      </c>
      <c r="AK37" s="375">
        <f t="shared" si="18"/>
        <v>0</v>
      </c>
      <c r="AL37" s="375">
        <f t="shared" si="18"/>
        <v>0</v>
      </c>
    </row>
    <row r="38" spans="2:38">
      <c r="F38" s="404" t="str">
        <f>'Collection Scenario'!N23</f>
        <v>Province / Island I</v>
      </c>
      <c r="G38" s="405">
        <f>Questions!C19</f>
        <v>4091</v>
      </c>
      <c r="H38" s="376"/>
      <c r="I38" s="375"/>
      <c r="J38" s="375"/>
      <c r="K38" s="375"/>
      <c r="L38" s="375"/>
      <c r="M38" s="375"/>
      <c r="N38" s="375"/>
      <c r="O38" s="375"/>
      <c r="P38" s="375"/>
      <c r="Q38" s="375"/>
      <c r="R38" s="375"/>
      <c r="S38" s="375"/>
      <c r="T38" s="375"/>
      <c r="U38" s="375"/>
      <c r="V38" s="375"/>
      <c r="W38" s="375"/>
      <c r="X38" s="375"/>
      <c r="Y38" s="375"/>
      <c r="Z38" s="375"/>
      <c r="AA38" s="375"/>
      <c r="AB38" s="375"/>
      <c r="AC38" s="375"/>
      <c r="AD38" s="375"/>
      <c r="AE38" s="375"/>
      <c r="AF38" s="375"/>
      <c r="AG38" s="375"/>
      <c r="AH38" s="375"/>
      <c r="AI38" s="375"/>
      <c r="AJ38" s="375"/>
      <c r="AK38" s="375"/>
      <c r="AL38" s="375"/>
    </row>
    <row r="39" spans="2:38">
      <c r="F39" s="174" t="str">
        <f>'Collection Scenario'!O23</f>
        <v>Community K</v>
      </c>
      <c r="G39" s="175">
        <f>G38</f>
        <v>4091</v>
      </c>
      <c r="H39" s="376">
        <f>G39/$G$43</f>
        <v>5.6704853386559109E-3</v>
      </c>
      <c r="I39" s="375">
        <f>I$14*$H39</f>
        <v>104853.4448903899</v>
      </c>
      <c r="J39" s="375">
        <f t="shared" ref="J39:L39" si="19">J$14*$H39</f>
        <v>31116.120203294522</v>
      </c>
      <c r="K39" s="375">
        <f t="shared" si="19"/>
        <v>1132824.4292842541</v>
      </c>
      <c r="L39" s="375">
        <f t="shared" si="19"/>
        <v>94152.533661165056</v>
      </c>
      <c r="M39" s="375">
        <f t="shared" si="8"/>
        <v>0</v>
      </c>
      <c r="N39" s="375">
        <f t="shared" si="8"/>
        <v>0</v>
      </c>
      <c r="O39" s="375">
        <f t="shared" ref="O39:AL39" si="20">O14*$H$39</f>
        <v>122301.05812015079</v>
      </c>
      <c r="P39" s="375">
        <f t="shared" si="20"/>
        <v>36293.842605122736</v>
      </c>
      <c r="Q39" s="375">
        <f t="shared" si="20"/>
        <v>1223450.3836269944</v>
      </c>
      <c r="R39" s="375">
        <f t="shared" si="20"/>
        <v>109819.51526238292</v>
      </c>
      <c r="S39" s="375">
        <f t="shared" si="20"/>
        <v>0</v>
      </c>
      <c r="T39" s="375">
        <f t="shared" si="20"/>
        <v>0</v>
      </c>
      <c r="U39" s="375">
        <f t="shared" si="20"/>
        <v>138567.09885013086</v>
      </c>
      <c r="V39" s="375">
        <f t="shared" si="20"/>
        <v>41120.923671604076</v>
      </c>
      <c r="W39" s="375">
        <f t="shared" si="20"/>
        <v>1234950.8172330882</v>
      </c>
      <c r="X39" s="375">
        <f t="shared" si="20"/>
        <v>124425.51079227986</v>
      </c>
      <c r="Y39" s="375">
        <f t="shared" si="20"/>
        <v>0</v>
      </c>
      <c r="Z39" s="375">
        <f t="shared" si="20"/>
        <v>0</v>
      </c>
      <c r="AA39" s="375">
        <f t="shared" si="20"/>
        <v>151148.99142572275</v>
      </c>
      <c r="AB39" s="375">
        <f t="shared" si="20"/>
        <v>44854.703540985727</v>
      </c>
      <c r="AC39" s="375">
        <f t="shared" si="20"/>
        <v>1222354.3188973106</v>
      </c>
      <c r="AD39" s="375">
        <f t="shared" si="20"/>
        <v>135723.3471722189</v>
      </c>
      <c r="AE39" s="375">
        <f t="shared" si="20"/>
        <v>0</v>
      </c>
      <c r="AF39" s="375">
        <f t="shared" si="20"/>
        <v>0</v>
      </c>
      <c r="AG39" s="375">
        <f t="shared" si="20"/>
        <v>162133.74437758717</v>
      </c>
      <c r="AH39" s="375">
        <f t="shared" si="20"/>
        <v>48114.519120826866</v>
      </c>
      <c r="AI39" s="375">
        <f t="shared" si="20"/>
        <v>1176393.7965067718</v>
      </c>
      <c r="AJ39" s="375">
        <f t="shared" si="20"/>
        <v>142865.78831715693</v>
      </c>
      <c r="AK39" s="375">
        <f t="shared" si="20"/>
        <v>0</v>
      </c>
      <c r="AL39" s="375">
        <f t="shared" si="20"/>
        <v>0</v>
      </c>
    </row>
    <row r="42" spans="2:38">
      <c r="F42" s="176" t="s">
        <v>195</v>
      </c>
      <c r="G42" s="177">
        <f>G22+G26+G24</f>
        <v>551882</v>
      </c>
    </row>
    <row r="43" spans="2:38">
      <c r="F43" s="178" t="s">
        <v>352</v>
      </c>
      <c r="G43" s="179">
        <f>G22+G24+G26+G28+G30+G32+G34+G36+G38</f>
        <v>721455</v>
      </c>
      <c r="J43" s="180"/>
      <c r="K43" s="180"/>
      <c r="L43" s="180"/>
      <c r="M43" s="180"/>
      <c r="N43" s="180"/>
    </row>
    <row r="44" spans="2:38">
      <c r="J44" s="180"/>
      <c r="K44" s="180"/>
      <c r="L44" s="180"/>
      <c r="M44" s="180"/>
      <c r="N44" s="180"/>
    </row>
    <row r="45" spans="2:38">
      <c r="J45" s="180"/>
      <c r="K45" s="180"/>
      <c r="L45" s="180"/>
      <c r="M45" s="180"/>
      <c r="N45" s="180"/>
    </row>
    <row r="46" spans="2:38">
      <c r="J46" s="180"/>
      <c r="K46" s="180"/>
      <c r="L46" s="180"/>
      <c r="M46" s="180"/>
      <c r="N46" s="180"/>
    </row>
    <row r="47" spans="2:38">
      <c r="G47" s="689" t="s">
        <v>95</v>
      </c>
      <c r="H47" s="689"/>
      <c r="I47" s="19"/>
      <c r="J47" s="19"/>
      <c r="K47" s="19"/>
      <c r="L47" s="19"/>
      <c r="M47" s="19"/>
      <c r="N47" s="19"/>
      <c r="O47" s="19"/>
    </row>
    <row r="48" spans="2:38">
      <c r="G48" s="150"/>
      <c r="H48" s="150"/>
      <c r="I48" s="688" t="s">
        <v>11</v>
      </c>
      <c r="J48" s="688"/>
      <c r="K48" s="688"/>
      <c r="L48" s="688"/>
      <c r="M48" s="688"/>
      <c r="N48" s="688"/>
      <c r="O48" s="688" t="s">
        <v>12</v>
      </c>
      <c r="P48" s="688"/>
      <c r="Q48" s="688"/>
      <c r="R48" s="688"/>
      <c r="S48" s="688"/>
      <c r="T48" s="688"/>
      <c r="U48" s="688" t="s">
        <v>13</v>
      </c>
      <c r="V48" s="688"/>
      <c r="W48" s="688"/>
      <c r="X48" s="688"/>
      <c r="Y48" s="688"/>
      <c r="Z48" s="688"/>
      <c r="AA48" s="688" t="s">
        <v>14</v>
      </c>
      <c r="AB48" s="688"/>
      <c r="AC48" s="688"/>
      <c r="AD48" s="688"/>
      <c r="AE48" s="688"/>
      <c r="AF48" s="688"/>
      <c r="AG48" s="688" t="s">
        <v>15</v>
      </c>
      <c r="AH48" s="688"/>
      <c r="AI48" s="688"/>
      <c r="AJ48" s="688"/>
      <c r="AK48" s="688"/>
      <c r="AL48" s="688"/>
    </row>
    <row r="49" spans="2:38">
      <c r="G49" s="384"/>
      <c r="H49" s="384"/>
      <c r="I49" s="209" t="s">
        <v>23</v>
      </c>
      <c r="J49" s="211" t="s">
        <v>24</v>
      </c>
      <c r="K49" s="234" t="s">
        <v>62</v>
      </c>
      <c r="L49" s="385" t="s">
        <v>27</v>
      </c>
      <c r="M49" s="378"/>
      <c r="N49" s="378"/>
      <c r="O49" s="209" t="s">
        <v>23</v>
      </c>
      <c r="P49" s="211" t="s">
        <v>24</v>
      </c>
      <c r="Q49" s="234" t="s">
        <v>62</v>
      </c>
      <c r="R49" s="385" t="s">
        <v>27</v>
      </c>
      <c r="S49" s="378"/>
      <c r="T49" s="378"/>
      <c r="U49" s="209" t="s">
        <v>23</v>
      </c>
      <c r="V49" s="211" t="s">
        <v>24</v>
      </c>
      <c r="W49" s="234" t="s">
        <v>62</v>
      </c>
      <c r="X49" s="385" t="s">
        <v>27</v>
      </c>
      <c r="Y49" s="378"/>
      <c r="Z49" s="378"/>
      <c r="AA49" s="209" t="s">
        <v>23</v>
      </c>
      <c r="AB49" s="211" t="s">
        <v>24</v>
      </c>
      <c r="AC49" s="234" t="s">
        <v>62</v>
      </c>
      <c r="AD49" s="385" t="s">
        <v>27</v>
      </c>
      <c r="AE49" s="378"/>
      <c r="AF49" s="378"/>
      <c r="AG49" s="209" t="s">
        <v>23</v>
      </c>
      <c r="AH49" s="211" t="s">
        <v>24</v>
      </c>
      <c r="AI49" s="234" t="s">
        <v>62</v>
      </c>
      <c r="AJ49" s="385" t="s">
        <v>27</v>
      </c>
      <c r="AK49" s="378"/>
      <c r="AL49" s="378"/>
    </row>
    <row r="50" spans="2:38" ht="20.25" customHeight="1">
      <c r="C50" s="181"/>
      <c r="G50" s="686" t="s">
        <v>354</v>
      </c>
      <c r="H50" s="686"/>
      <c r="I50" s="379">
        <f>I25/$C$9</f>
        <v>1269.4088145695721</v>
      </c>
      <c r="J50" s="379">
        <f>J25/$C$10</f>
        <v>329.6190472305363</v>
      </c>
      <c r="K50" s="379">
        <f>K25/$C$11</f>
        <v>9600.1816838493069</v>
      </c>
      <c r="L50" s="379">
        <f>L25/$C$12</f>
        <v>1329.8345353672271</v>
      </c>
      <c r="M50" s="379">
        <f>M25/$C$9</f>
        <v>0</v>
      </c>
      <c r="N50" s="379">
        <f>N25/$C$9</f>
        <v>0</v>
      </c>
      <c r="O50" s="379">
        <f>O25/$C$9</f>
        <v>1480.638441313949</v>
      </c>
      <c r="P50" s="379">
        <f>P25/$C$10</f>
        <v>384.46765668969761</v>
      </c>
      <c r="Q50" s="379">
        <f>Q25/$C$11</f>
        <v>10368.196218557252</v>
      </c>
      <c r="R50" s="379">
        <f>R25/$C$12</f>
        <v>1551.1190020523338</v>
      </c>
      <c r="S50" s="379">
        <f>S25/$C$9</f>
        <v>0</v>
      </c>
      <c r="T50" s="379">
        <f>T25/$C$9</f>
        <v>0</v>
      </c>
      <c r="U50" s="379">
        <f>U25/$C$9</f>
        <v>1677.5633540087044</v>
      </c>
      <c r="V50" s="379">
        <f>V25/$C$10</f>
        <v>435.60185502942744</v>
      </c>
      <c r="W50" s="379">
        <f>W25/$C$11</f>
        <v>10465.657263011692</v>
      </c>
      <c r="X50" s="379">
        <f>X25/$C$12</f>
        <v>1757.4178293252944</v>
      </c>
      <c r="Y50" s="379">
        <f>Y25/$C$9</f>
        <v>0</v>
      </c>
      <c r="Z50" s="379">
        <f>Z25/$C$9</f>
        <v>0</v>
      </c>
      <c r="AA50" s="379">
        <f>AA25/$C$9</f>
        <v>1829.8861065526949</v>
      </c>
      <c r="AB50" s="379">
        <f>AB25/$C$10</f>
        <v>475.15450346609953</v>
      </c>
      <c r="AC50" s="379">
        <f>AC25/$C$11</f>
        <v>10358.907558928971</v>
      </c>
      <c r="AD50" s="379">
        <f>AD25/$C$12</f>
        <v>1916.9913682280314</v>
      </c>
      <c r="AE50" s="379">
        <f>AE25/$C$9</f>
        <v>0</v>
      </c>
      <c r="AF50" s="379">
        <f>AF25/$C$9</f>
        <v>0</v>
      </c>
      <c r="AG50" s="379">
        <f>AG25/$C$9</f>
        <v>1962.8730793464119</v>
      </c>
      <c r="AH50" s="379">
        <f>AH25/$C$10</f>
        <v>509.68635700549828</v>
      </c>
      <c r="AI50" s="379">
        <f>AI25/$C$11</f>
        <v>9969.4126347132405</v>
      </c>
      <c r="AJ50" s="379">
        <f>AJ25/$C$12</f>
        <v>2017.8730389810316</v>
      </c>
      <c r="AK50" s="379">
        <f>AK25/$C$9</f>
        <v>0</v>
      </c>
      <c r="AL50" s="379">
        <f>AL25/$C$9</f>
        <v>0</v>
      </c>
    </row>
    <row r="51" spans="2:38" ht="20.25" customHeight="1">
      <c r="B51" s="180"/>
      <c r="G51" s="683" t="s">
        <v>355</v>
      </c>
      <c r="H51" s="683"/>
      <c r="I51" s="380">
        <f>I50*$C$30</f>
        <v>50776.352582782885</v>
      </c>
      <c r="J51" s="380">
        <f t="shared" ref="J51:AL51" si="21">J50*$C$30</f>
        <v>13184.761889221452</v>
      </c>
      <c r="K51" s="380">
        <f t="shared" si="21"/>
        <v>384007.2673539723</v>
      </c>
      <c r="L51" s="380">
        <f t="shared" si="21"/>
        <v>53193.38141468908</v>
      </c>
      <c r="M51" s="380">
        <f t="shared" si="21"/>
        <v>0</v>
      </c>
      <c r="N51" s="380">
        <f t="shared" si="21"/>
        <v>0</v>
      </c>
      <c r="O51" s="380">
        <f t="shared" si="21"/>
        <v>59225.537652557963</v>
      </c>
      <c r="P51" s="380">
        <f t="shared" si="21"/>
        <v>15378.706267587904</v>
      </c>
      <c r="Q51" s="380">
        <f t="shared" si="21"/>
        <v>414727.84874229005</v>
      </c>
      <c r="R51" s="380">
        <f t="shared" si="21"/>
        <v>62044.760082093351</v>
      </c>
      <c r="S51" s="380">
        <f t="shared" si="21"/>
        <v>0</v>
      </c>
      <c r="T51" s="380">
        <f t="shared" si="21"/>
        <v>0</v>
      </c>
      <c r="U51" s="380">
        <f t="shared" si="21"/>
        <v>67102.534160348179</v>
      </c>
      <c r="V51" s="380">
        <f t="shared" si="21"/>
        <v>17424.074201177096</v>
      </c>
      <c r="W51" s="380">
        <f t="shared" si="21"/>
        <v>418626.29052046768</v>
      </c>
      <c r="X51" s="380">
        <f t="shared" si="21"/>
        <v>70296.713173011784</v>
      </c>
      <c r="Y51" s="380">
        <f t="shared" si="21"/>
        <v>0</v>
      </c>
      <c r="Z51" s="380">
        <f t="shared" si="21"/>
        <v>0</v>
      </c>
      <c r="AA51" s="380">
        <f t="shared" si="21"/>
        <v>73195.444262107791</v>
      </c>
      <c r="AB51" s="380">
        <f t="shared" si="21"/>
        <v>19006.18013864398</v>
      </c>
      <c r="AC51" s="380">
        <f t="shared" si="21"/>
        <v>414356.30235715886</v>
      </c>
      <c r="AD51" s="380">
        <f t="shared" si="21"/>
        <v>76679.654729121263</v>
      </c>
      <c r="AE51" s="380">
        <f t="shared" si="21"/>
        <v>0</v>
      </c>
      <c r="AF51" s="380">
        <f t="shared" si="21"/>
        <v>0</v>
      </c>
      <c r="AG51" s="380">
        <f t="shared" si="21"/>
        <v>78514.923173856485</v>
      </c>
      <c r="AH51" s="380">
        <f t="shared" si="21"/>
        <v>20387.454280219932</v>
      </c>
      <c r="AI51" s="380">
        <f t="shared" si="21"/>
        <v>398776.50538852962</v>
      </c>
      <c r="AJ51" s="380">
        <f t="shared" si="21"/>
        <v>80714.921559241266</v>
      </c>
      <c r="AK51" s="380">
        <f t="shared" si="21"/>
        <v>0</v>
      </c>
      <c r="AL51" s="380">
        <f t="shared" si="21"/>
        <v>0</v>
      </c>
    </row>
    <row r="52" spans="2:38" ht="20.25" customHeight="1">
      <c r="B52" s="180"/>
      <c r="G52" s="683" t="s">
        <v>20</v>
      </c>
      <c r="H52" s="683"/>
      <c r="I52" s="695">
        <f>SUM(I51:N51)</f>
        <v>501161.76324066572</v>
      </c>
      <c r="J52" s="695"/>
      <c r="K52" s="695"/>
      <c r="L52" s="695"/>
      <c r="M52" s="695"/>
      <c r="N52" s="695"/>
      <c r="O52" s="695">
        <f>SUM(O51:T51)</f>
        <v>551376.85274452926</v>
      </c>
      <c r="P52" s="695"/>
      <c r="Q52" s="695"/>
      <c r="R52" s="695"/>
      <c r="S52" s="695"/>
      <c r="T52" s="695"/>
      <c r="U52" s="695">
        <f>SUM(U51:X51)</f>
        <v>573449.61205500481</v>
      </c>
      <c r="V52" s="695"/>
      <c r="W52" s="695"/>
      <c r="X52" s="695"/>
      <c r="Y52" s="695"/>
      <c r="Z52" s="695"/>
      <c r="AA52" s="695">
        <f>SUM(AA51:AD51)</f>
        <v>583237.58148703189</v>
      </c>
      <c r="AB52" s="695"/>
      <c r="AC52" s="695"/>
      <c r="AD52" s="695"/>
      <c r="AE52" s="695"/>
      <c r="AF52" s="695"/>
      <c r="AG52" s="695">
        <f>SUM(AG51:AJ51)</f>
        <v>578393.8044018473</v>
      </c>
      <c r="AH52" s="695"/>
      <c r="AI52" s="695"/>
      <c r="AJ52" s="695"/>
      <c r="AK52" s="695"/>
      <c r="AL52" s="695"/>
    </row>
    <row r="53" spans="2:38" ht="25.5" customHeight="1">
      <c r="B53" s="180"/>
      <c r="G53" s="686" t="s">
        <v>356</v>
      </c>
      <c r="H53" s="686"/>
      <c r="I53" s="379">
        <f>I27/$C$9</f>
        <v>689.88638402617175</v>
      </c>
      <c r="J53" s="379">
        <f>J27/$C$10</f>
        <v>179.13826498607759</v>
      </c>
      <c r="K53" s="379">
        <f>K27/$C$11</f>
        <v>5217.4166051547436</v>
      </c>
      <c r="L53" s="379">
        <f>L27/$C$12</f>
        <v>722.72598742644004</v>
      </c>
      <c r="M53" s="379">
        <f>M27/$C$12</f>
        <v>0</v>
      </c>
      <c r="N53" s="379">
        <f>N27/$C$12</f>
        <v>0</v>
      </c>
      <c r="O53" s="379">
        <f>O27/$C$9</f>
        <v>804.68347832812685</v>
      </c>
      <c r="P53" s="379">
        <f>P27/$C$10</f>
        <v>208.94687227976092</v>
      </c>
      <c r="Q53" s="379">
        <f>Q27/$C$11</f>
        <v>5634.8099335671232</v>
      </c>
      <c r="R53" s="379">
        <f>R27/$C$12</f>
        <v>842.98759173419967</v>
      </c>
      <c r="S53" s="379">
        <f>S27/$C$9</f>
        <v>0</v>
      </c>
      <c r="T53" s="379">
        <f>T27/$C$9</f>
        <v>0</v>
      </c>
      <c r="U53" s="379">
        <f>U27/$C$9</f>
        <v>911.70638094576782</v>
      </c>
      <c r="V53" s="379">
        <f>V27/$C$10</f>
        <v>236.73680629296919</v>
      </c>
      <c r="W53" s="379">
        <f>W27/$C$11</f>
        <v>5687.7771469426552</v>
      </c>
      <c r="X53" s="379">
        <f>X27/$C$12</f>
        <v>955.10494143484823</v>
      </c>
      <c r="Y53" s="379">
        <f>Y27/$C$9</f>
        <v>0</v>
      </c>
      <c r="Z53" s="379">
        <f>Z27/$C$9</f>
        <v>0</v>
      </c>
      <c r="AA53" s="379">
        <f>AA27/$C$9</f>
        <v>994.48932033564381</v>
      </c>
      <c r="AB53" s="379">
        <f>AB27/$C$10</f>
        <v>258.23250830437081</v>
      </c>
      <c r="AC53" s="379">
        <f>AC27/$C$11</f>
        <v>5629.7618200438392</v>
      </c>
      <c r="AD53" s="379">
        <f>AD27/$C$12</f>
        <v>1041.8284701171326</v>
      </c>
      <c r="AE53" s="379">
        <f>AE27/$C$9</f>
        <v>0</v>
      </c>
      <c r="AF53" s="379">
        <f>AF27/$C$9</f>
        <v>0</v>
      </c>
      <c r="AG53" s="379">
        <f>AG27/$C$9</f>
        <v>1066.7638316910366</v>
      </c>
      <c r="AH53" s="379">
        <f>AH27/$C$10</f>
        <v>276.99955584539094</v>
      </c>
      <c r="AI53" s="379">
        <f>AI27/$C$11</f>
        <v>5418.0827756101908</v>
      </c>
      <c r="AJ53" s="379">
        <f>AJ27/$C$12</f>
        <v>1096.6546933570469</v>
      </c>
      <c r="AK53" s="379">
        <f>AK27/$C$9</f>
        <v>0</v>
      </c>
      <c r="AL53" s="379">
        <f>AL27/$C$9</f>
        <v>0</v>
      </c>
    </row>
    <row r="54" spans="2:38" ht="20.25" customHeight="1">
      <c r="B54" s="180"/>
      <c r="G54" s="683" t="s">
        <v>355</v>
      </c>
      <c r="H54" s="683"/>
      <c r="I54" s="380">
        <f>I53*$C$34</f>
        <v>27595.455361046872</v>
      </c>
      <c r="J54" s="380">
        <f t="shared" ref="J54:AL54" si="22">J53*$C$34</f>
        <v>7165.5305994431037</v>
      </c>
      <c r="K54" s="380">
        <f t="shared" si="22"/>
        <v>208696.66420618974</v>
      </c>
      <c r="L54" s="380">
        <f t="shared" si="22"/>
        <v>28909.039497057602</v>
      </c>
      <c r="M54" s="380">
        <f t="shared" si="22"/>
        <v>0</v>
      </c>
      <c r="N54" s="380">
        <f t="shared" si="22"/>
        <v>0</v>
      </c>
      <c r="O54" s="380">
        <f t="shared" si="22"/>
        <v>32187.339133125075</v>
      </c>
      <c r="P54" s="380">
        <f t="shared" si="22"/>
        <v>8357.8748911904368</v>
      </c>
      <c r="Q54" s="380">
        <f t="shared" si="22"/>
        <v>225392.39734268491</v>
      </c>
      <c r="R54" s="380">
        <f t="shared" si="22"/>
        <v>33719.503669367987</v>
      </c>
      <c r="S54" s="380">
        <f t="shared" si="22"/>
        <v>0</v>
      </c>
      <c r="T54" s="380">
        <f t="shared" si="22"/>
        <v>0</v>
      </c>
      <c r="U54" s="380">
        <f t="shared" si="22"/>
        <v>36468.255237830715</v>
      </c>
      <c r="V54" s="380">
        <f t="shared" si="22"/>
        <v>9469.4722517187674</v>
      </c>
      <c r="W54" s="380">
        <f t="shared" si="22"/>
        <v>227511.08587770621</v>
      </c>
      <c r="X54" s="380">
        <f t="shared" si="22"/>
        <v>38204.197657393932</v>
      </c>
      <c r="Y54" s="380">
        <f t="shared" si="22"/>
        <v>0</v>
      </c>
      <c r="Z54" s="380">
        <f t="shared" si="22"/>
        <v>0</v>
      </c>
      <c r="AA54" s="380">
        <f t="shared" si="22"/>
        <v>39779.572813425752</v>
      </c>
      <c r="AB54" s="380">
        <f t="shared" si="22"/>
        <v>10329.300332174833</v>
      </c>
      <c r="AC54" s="380">
        <f t="shared" si="22"/>
        <v>225190.47280175355</v>
      </c>
      <c r="AD54" s="380">
        <f t="shared" si="22"/>
        <v>41673.138804685303</v>
      </c>
      <c r="AE54" s="380">
        <f t="shared" si="22"/>
        <v>0</v>
      </c>
      <c r="AF54" s="380">
        <f t="shared" si="22"/>
        <v>0</v>
      </c>
      <c r="AG54" s="380">
        <f t="shared" si="22"/>
        <v>42670.553267641459</v>
      </c>
      <c r="AH54" s="380">
        <f t="shared" si="22"/>
        <v>11079.982233815637</v>
      </c>
      <c r="AI54" s="380">
        <f t="shared" si="22"/>
        <v>216723.31102440762</v>
      </c>
      <c r="AJ54" s="380">
        <f t="shared" si="22"/>
        <v>43866.187734281877</v>
      </c>
      <c r="AK54" s="380">
        <f t="shared" si="22"/>
        <v>0</v>
      </c>
      <c r="AL54" s="380">
        <f t="shared" si="22"/>
        <v>0</v>
      </c>
    </row>
    <row r="55" spans="2:38" ht="20.25" customHeight="1">
      <c r="B55" s="180"/>
      <c r="G55" s="683" t="s">
        <v>20</v>
      </c>
      <c r="H55" s="683"/>
      <c r="I55" s="695">
        <f>SUM(I54:N54)</f>
        <v>272366.68966373731</v>
      </c>
      <c r="J55" s="695"/>
      <c r="K55" s="695"/>
      <c r="L55" s="695"/>
      <c r="M55" s="695"/>
      <c r="N55" s="695"/>
      <c r="O55" s="695">
        <f>SUM(O54:T54)</f>
        <v>299657.11503636843</v>
      </c>
      <c r="P55" s="695"/>
      <c r="Q55" s="695"/>
      <c r="R55" s="695"/>
      <c r="S55" s="695"/>
      <c r="T55" s="695"/>
      <c r="U55" s="695">
        <f>SUM(U54:Z54)</f>
        <v>311653.0110246496</v>
      </c>
      <c r="V55" s="695"/>
      <c r="W55" s="695"/>
      <c r="X55" s="695"/>
      <c r="Y55" s="695"/>
      <c r="Z55" s="695"/>
      <c r="AA55" s="695">
        <f t="shared" ref="AA55" si="23">SUM(AA54:AF54)</f>
        <v>316972.48475203948</v>
      </c>
      <c r="AB55" s="695"/>
      <c r="AC55" s="695"/>
      <c r="AD55" s="695"/>
      <c r="AE55" s="695"/>
      <c r="AF55" s="695"/>
      <c r="AG55" s="695">
        <f t="shared" ref="AG55" si="24">SUM(AG54:AL54)</f>
        <v>314340.03426014661</v>
      </c>
      <c r="AH55" s="695"/>
      <c r="AI55" s="695"/>
      <c r="AJ55" s="695"/>
      <c r="AK55" s="695"/>
      <c r="AL55" s="695"/>
    </row>
    <row r="56" spans="2:38" ht="28.5" customHeight="1">
      <c r="B56" s="180"/>
      <c r="G56" s="685" t="s">
        <v>20</v>
      </c>
      <c r="H56" s="685"/>
      <c r="I56" s="695">
        <f>I52+I55</f>
        <v>773528.45290440298</v>
      </c>
      <c r="J56" s="695"/>
      <c r="K56" s="695"/>
      <c r="L56" s="695"/>
      <c r="M56" s="695"/>
      <c r="N56" s="695"/>
      <c r="O56" s="695">
        <f t="shared" ref="O56" si="25">O52+O55</f>
        <v>851033.96778089763</v>
      </c>
      <c r="P56" s="695"/>
      <c r="Q56" s="695"/>
      <c r="R56" s="695"/>
      <c r="S56" s="695"/>
      <c r="T56" s="695"/>
      <c r="U56" s="695">
        <f t="shared" ref="U56" si="26">U52+U55</f>
        <v>885102.62307965441</v>
      </c>
      <c r="V56" s="695"/>
      <c r="W56" s="695"/>
      <c r="X56" s="695"/>
      <c r="Y56" s="695"/>
      <c r="Z56" s="695"/>
      <c r="AA56" s="695">
        <f t="shared" ref="AA56" si="27">AA52+AA55</f>
        <v>900210.06623907131</v>
      </c>
      <c r="AB56" s="695"/>
      <c r="AC56" s="695"/>
      <c r="AD56" s="695"/>
      <c r="AE56" s="695"/>
      <c r="AF56" s="695"/>
      <c r="AG56" s="695">
        <f t="shared" ref="AG56" si="28">AG52+AG55</f>
        <v>892733.83866199385</v>
      </c>
      <c r="AH56" s="695"/>
      <c r="AI56" s="695"/>
      <c r="AJ56" s="695"/>
      <c r="AK56" s="695"/>
      <c r="AL56" s="695"/>
    </row>
    <row r="57" spans="2:38">
      <c r="B57" s="180"/>
    </row>
    <row r="58" spans="2:38">
      <c r="B58" s="180"/>
      <c r="G58" s="689" t="s">
        <v>96</v>
      </c>
      <c r="H58" s="689"/>
    </row>
    <row r="59" spans="2:38">
      <c r="B59" s="180"/>
      <c r="G59" s="384"/>
      <c r="H59" s="384"/>
      <c r="I59" s="688" t="s">
        <v>11</v>
      </c>
      <c r="J59" s="688"/>
      <c r="K59" s="688"/>
      <c r="L59" s="688"/>
      <c r="M59" s="688"/>
      <c r="N59" s="688"/>
      <c r="O59" s="688" t="s">
        <v>12</v>
      </c>
      <c r="P59" s="688"/>
      <c r="Q59" s="688"/>
      <c r="R59" s="688"/>
      <c r="S59" s="688"/>
      <c r="T59" s="688"/>
      <c r="U59" s="688" t="s">
        <v>13</v>
      </c>
      <c r="V59" s="688"/>
      <c r="W59" s="688"/>
      <c r="X59" s="688"/>
      <c r="Y59" s="688"/>
      <c r="Z59" s="688"/>
      <c r="AA59" s="688" t="s">
        <v>14</v>
      </c>
      <c r="AB59" s="688"/>
      <c r="AC59" s="688"/>
      <c r="AD59" s="688"/>
      <c r="AE59" s="688"/>
      <c r="AF59" s="688"/>
      <c r="AG59" s="688" t="s">
        <v>15</v>
      </c>
      <c r="AH59" s="688"/>
      <c r="AI59" s="688"/>
      <c r="AJ59" s="688"/>
      <c r="AK59" s="688"/>
      <c r="AL59" s="688"/>
    </row>
    <row r="60" spans="2:38">
      <c r="G60" s="384"/>
      <c r="H60" s="384"/>
      <c r="I60" s="209" t="s">
        <v>23</v>
      </c>
      <c r="J60" s="211" t="s">
        <v>24</v>
      </c>
      <c r="K60" s="234" t="s">
        <v>62</v>
      </c>
      <c r="L60" s="385" t="s">
        <v>27</v>
      </c>
      <c r="M60" s="378"/>
      <c r="N60" s="378"/>
      <c r="O60" s="209" t="s">
        <v>23</v>
      </c>
      <c r="P60" s="211" t="s">
        <v>24</v>
      </c>
      <c r="Q60" s="234" t="s">
        <v>62</v>
      </c>
      <c r="R60" s="385" t="s">
        <v>27</v>
      </c>
      <c r="S60" s="378"/>
      <c r="T60" s="378"/>
      <c r="U60" s="209" t="s">
        <v>23</v>
      </c>
      <c r="V60" s="211" t="s">
        <v>24</v>
      </c>
      <c r="W60" s="234" t="s">
        <v>62</v>
      </c>
      <c r="X60" s="385" t="s">
        <v>27</v>
      </c>
      <c r="Y60" s="378"/>
      <c r="Z60" s="378"/>
      <c r="AA60" s="209" t="s">
        <v>23</v>
      </c>
      <c r="AB60" s="211" t="s">
        <v>24</v>
      </c>
      <c r="AC60" s="234" t="s">
        <v>62</v>
      </c>
      <c r="AD60" s="385" t="s">
        <v>27</v>
      </c>
      <c r="AE60" s="378"/>
      <c r="AF60" s="378"/>
      <c r="AG60" s="209" t="s">
        <v>23</v>
      </c>
      <c r="AH60" s="211" t="s">
        <v>24</v>
      </c>
      <c r="AI60" s="234" t="s">
        <v>62</v>
      </c>
      <c r="AJ60" s="385" t="s">
        <v>27</v>
      </c>
      <c r="AK60" s="378"/>
      <c r="AL60" s="378"/>
    </row>
    <row r="61" spans="2:38" ht="15.75" customHeight="1">
      <c r="G61" s="686" t="s">
        <v>354</v>
      </c>
      <c r="H61" s="686"/>
      <c r="I61" s="379">
        <f>I50</f>
        <v>1269.4088145695721</v>
      </c>
      <c r="J61" s="379">
        <f t="shared" ref="J61:AL61" si="29">J50</f>
        <v>329.6190472305363</v>
      </c>
      <c r="K61" s="379">
        <f t="shared" si="29"/>
        <v>9600.1816838493069</v>
      </c>
      <c r="L61" s="379">
        <f t="shared" si="29"/>
        <v>1329.8345353672271</v>
      </c>
      <c r="M61" s="379">
        <f t="shared" si="29"/>
        <v>0</v>
      </c>
      <c r="N61" s="379">
        <f t="shared" si="29"/>
        <v>0</v>
      </c>
      <c r="O61" s="379">
        <f t="shared" si="29"/>
        <v>1480.638441313949</v>
      </c>
      <c r="P61" s="379">
        <f t="shared" si="29"/>
        <v>384.46765668969761</v>
      </c>
      <c r="Q61" s="379">
        <f t="shared" si="29"/>
        <v>10368.196218557252</v>
      </c>
      <c r="R61" s="379">
        <f t="shared" si="29"/>
        <v>1551.1190020523338</v>
      </c>
      <c r="S61" s="379">
        <f t="shared" si="29"/>
        <v>0</v>
      </c>
      <c r="T61" s="379">
        <f t="shared" si="29"/>
        <v>0</v>
      </c>
      <c r="U61" s="379">
        <f t="shared" si="29"/>
        <v>1677.5633540087044</v>
      </c>
      <c r="V61" s="379">
        <f t="shared" si="29"/>
        <v>435.60185502942744</v>
      </c>
      <c r="W61" s="379">
        <f t="shared" si="29"/>
        <v>10465.657263011692</v>
      </c>
      <c r="X61" s="379">
        <f t="shared" si="29"/>
        <v>1757.4178293252944</v>
      </c>
      <c r="Y61" s="379">
        <f t="shared" si="29"/>
        <v>0</v>
      </c>
      <c r="Z61" s="379">
        <f t="shared" si="29"/>
        <v>0</v>
      </c>
      <c r="AA61" s="379">
        <f t="shared" si="29"/>
        <v>1829.8861065526949</v>
      </c>
      <c r="AB61" s="379">
        <f t="shared" si="29"/>
        <v>475.15450346609953</v>
      </c>
      <c r="AC61" s="379">
        <f t="shared" si="29"/>
        <v>10358.907558928971</v>
      </c>
      <c r="AD61" s="379">
        <f t="shared" si="29"/>
        <v>1916.9913682280314</v>
      </c>
      <c r="AE61" s="379">
        <f t="shared" si="29"/>
        <v>0</v>
      </c>
      <c r="AF61" s="379">
        <f t="shared" si="29"/>
        <v>0</v>
      </c>
      <c r="AG61" s="379">
        <f t="shared" si="29"/>
        <v>1962.8730793464119</v>
      </c>
      <c r="AH61" s="379">
        <f t="shared" si="29"/>
        <v>509.68635700549828</v>
      </c>
      <c r="AI61" s="379">
        <f t="shared" si="29"/>
        <v>9969.4126347132405</v>
      </c>
      <c r="AJ61" s="379">
        <f t="shared" si="29"/>
        <v>2017.8730389810316</v>
      </c>
      <c r="AK61" s="379">
        <f t="shared" si="29"/>
        <v>0</v>
      </c>
      <c r="AL61" s="379">
        <f t="shared" si="29"/>
        <v>0</v>
      </c>
    </row>
    <row r="62" spans="2:38" ht="15.75" customHeight="1">
      <c r="G62" s="683" t="s">
        <v>355</v>
      </c>
      <c r="H62" s="683"/>
      <c r="I62" s="380">
        <f>I61*$C$30</f>
        <v>50776.352582782885</v>
      </c>
      <c r="J62" s="380">
        <f t="shared" ref="J62:AL62" si="30">J61*$C$30</f>
        <v>13184.761889221452</v>
      </c>
      <c r="K62" s="380">
        <f t="shared" si="30"/>
        <v>384007.2673539723</v>
      </c>
      <c r="L62" s="380">
        <f t="shared" si="30"/>
        <v>53193.38141468908</v>
      </c>
      <c r="M62" s="380">
        <f t="shared" si="30"/>
        <v>0</v>
      </c>
      <c r="N62" s="380">
        <f t="shared" si="30"/>
        <v>0</v>
      </c>
      <c r="O62" s="380">
        <f t="shared" si="30"/>
        <v>59225.537652557963</v>
      </c>
      <c r="P62" s="380">
        <f t="shared" si="30"/>
        <v>15378.706267587904</v>
      </c>
      <c r="Q62" s="380">
        <f t="shared" si="30"/>
        <v>414727.84874229005</v>
      </c>
      <c r="R62" s="380">
        <f t="shared" si="30"/>
        <v>62044.760082093351</v>
      </c>
      <c r="S62" s="380">
        <f t="shared" si="30"/>
        <v>0</v>
      </c>
      <c r="T62" s="380">
        <f t="shared" si="30"/>
        <v>0</v>
      </c>
      <c r="U62" s="380">
        <f t="shared" si="30"/>
        <v>67102.534160348179</v>
      </c>
      <c r="V62" s="380">
        <f t="shared" si="30"/>
        <v>17424.074201177096</v>
      </c>
      <c r="W62" s="380">
        <f t="shared" si="30"/>
        <v>418626.29052046768</v>
      </c>
      <c r="X62" s="380">
        <f t="shared" si="30"/>
        <v>70296.713173011784</v>
      </c>
      <c r="Y62" s="380">
        <f t="shared" si="30"/>
        <v>0</v>
      </c>
      <c r="Z62" s="380">
        <f t="shared" si="30"/>
        <v>0</v>
      </c>
      <c r="AA62" s="380">
        <f t="shared" si="30"/>
        <v>73195.444262107791</v>
      </c>
      <c r="AB62" s="380">
        <f t="shared" si="30"/>
        <v>19006.18013864398</v>
      </c>
      <c r="AC62" s="380">
        <f t="shared" si="30"/>
        <v>414356.30235715886</v>
      </c>
      <c r="AD62" s="380">
        <f t="shared" si="30"/>
        <v>76679.654729121263</v>
      </c>
      <c r="AE62" s="380">
        <f t="shared" si="30"/>
        <v>0</v>
      </c>
      <c r="AF62" s="380">
        <f t="shared" si="30"/>
        <v>0</v>
      </c>
      <c r="AG62" s="380">
        <f t="shared" si="30"/>
        <v>78514.923173856485</v>
      </c>
      <c r="AH62" s="380">
        <f t="shared" si="30"/>
        <v>20387.454280219932</v>
      </c>
      <c r="AI62" s="380">
        <f t="shared" si="30"/>
        <v>398776.50538852962</v>
      </c>
      <c r="AJ62" s="380">
        <f t="shared" si="30"/>
        <v>80714.921559241266</v>
      </c>
      <c r="AK62" s="380">
        <f t="shared" si="30"/>
        <v>0</v>
      </c>
      <c r="AL62" s="380">
        <f t="shared" si="30"/>
        <v>0</v>
      </c>
    </row>
    <row r="63" spans="2:38">
      <c r="G63" s="683" t="s">
        <v>20</v>
      </c>
      <c r="H63" s="683"/>
      <c r="I63" s="684">
        <f>I52</f>
        <v>501161.76324066572</v>
      </c>
      <c r="J63" s="684"/>
      <c r="K63" s="684"/>
      <c r="L63" s="684"/>
      <c r="M63" s="684"/>
      <c r="N63" s="684"/>
      <c r="O63" s="684">
        <f t="shared" ref="O63" si="31">O52</f>
        <v>551376.85274452926</v>
      </c>
      <c r="P63" s="684"/>
      <c r="Q63" s="684"/>
      <c r="R63" s="684"/>
      <c r="S63" s="684"/>
      <c r="T63" s="684"/>
      <c r="U63" s="684">
        <f t="shared" ref="U63" si="32">U52</f>
        <v>573449.61205500481</v>
      </c>
      <c r="V63" s="684"/>
      <c r="W63" s="684"/>
      <c r="X63" s="684"/>
      <c r="Y63" s="684"/>
      <c r="Z63" s="684"/>
      <c r="AA63" s="684">
        <f t="shared" ref="AA63" si="33">AA52</f>
        <v>583237.58148703189</v>
      </c>
      <c r="AB63" s="684"/>
      <c r="AC63" s="684"/>
      <c r="AD63" s="684"/>
      <c r="AE63" s="684"/>
      <c r="AF63" s="684"/>
      <c r="AG63" s="684">
        <f t="shared" ref="AG63" si="34">AG52</f>
        <v>578393.8044018473</v>
      </c>
      <c r="AH63" s="684"/>
      <c r="AI63" s="684"/>
      <c r="AJ63" s="684"/>
      <c r="AK63" s="684"/>
      <c r="AL63" s="684"/>
    </row>
    <row r="64" spans="2:38" ht="26.25" customHeight="1">
      <c r="G64" s="686" t="s">
        <v>356</v>
      </c>
      <c r="H64" s="686"/>
      <c r="I64" s="379">
        <f>I53</f>
        <v>689.88638402617175</v>
      </c>
      <c r="J64" s="379">
        <f>J53</f>
        <v>179.13826498607759</v>
      </c>
      <c r="K64" s="379">
        <f t="shared" ref="K64:AL64" si="35">K53</f>
        <v>5217.4166051547436</v>
      </c>
      <c r="L64" s="379">
        <f t="shared" si="35"/>
        <v>722.72598742644004</v>
      </c>
      <c r="M64" s="379">
        <f t="shared" si="35"/>
        <v>0</v>
      </c>
      <c r="N64" s="379">
        <f t="shared" si="35"/>
        <v>0</v>
      </c>
      <c r="O64" s="379">
        <f t="shared" si="35"/>
        <v>804.68347832812685</v>
      </c>
      <c r="P64" s="379">
        <f t="shared" si="35"/>
        <v>208.94687227976092</v>
      </c>
      <c r="Q64" s="379">
        <f t="shared" si="35"/>
        <v>5634.8099335671232</v>
      </c>
      <c r="R64" s="379">
        <f t="shared" si="35"/>
        <v>842.98759173419967</v>
      </c>
      <c r="S64" s="379">
        <f t="shared" si="35"/>
        <v>0</v>
      </c>
      <c r="T64" s="379">
        <f t="shared" si="35"/>
        <v>0</v>
      </c>
      <c r="U64" s="379">
        <f t="shared" si="35"/>
        <v>911.70638094576782</v>
      </c>
      <c r="V64" s="379">
        <f t="shared" si="35"/>
        <v>236.73680629296919</v>
      </c>
      <c r="W64" s="379">
        <f t="shared" si="35"/>
        <v>5687.7771469426552</v>
      </c>
      <c r="X64" s="379">
        <f t="shared" si="35"/>
        <v>955.10494143484823</v>
      </c>
      <c r="Y64" s="379">
        <f t="shared" si="35"/>
        <v>0</v>
      </c>
      <c r="Z64" s="379">
        <f t="shared" si="35"/>
        <v>0</v>
      </c>
      <c r="AA64" s="379">
        <f t="shared" si="35"/>
        <v>994.48932033564381</v>
      </c>
      <c r="AB64" s="379">
        <f t="shared" si="35"/>
        <v>258.23250830437081</v>
      </c>
      <c r="AC64" s="379">
        <f t="shared" si="35"/>
        <v>5629.7618200438392</v>
      </c>
      <c r="AD64" s="379">
        <f t="shared" si="35"/>
        <v>1041.8284701171326</v>
      </c>
      <c r="AE64" s="379">
        <f t="shared" si="35"/>
        <v>0</v>
      </c>
      <c r="AF64" s="379">
        <f t="shared" si="35"/>
        <v>0</v>
      </c>
      <c r="AG64" s="379">
        <f t="shared" si="35"/>
        <v>1066.7638316910366</v>
      </c>
      <c r="AH64" s="379">
        <f t="shared" si="35"/>
        <v>276.99955584539094</v>
      </c>
      <c r="AI64" s="379">
        <f t="shared" si="35"/>
        <v>5418.0827756101908</v>
      </c>
      <c r="AJ64" s="379">
        <f t="shared" si="35"/>
        <v>1096.6546933570469</v>
      </c>
      <c r="AK64" s="379">
        <f t="shared" si="35"/>
        <v>0</v>
      </c>
      <c r="AL64" s="379">
        <f t="shared" si="35"/>
        <v>0</v>
      </c>
    </row>
    <row r="65" spans="7:38">
      <c r="G65" s="683" t="s">
        <v>355</v>
      </c>
      <c r="H65" s="683"/>
      <c r="I65" s="380">
        <f>I54</f>
        <v>27595.455361046872</v>
      </c>
      <c r="J65" s="380">
        <f t="shared" ref="J65:AL65" si="36">J54</f>
        <v>7165.5305994431037</v>
      </c>
      <c r="K65" s="380">
        <f t="shared" si="36"/>
        <v>208696.66420618974</v>
      </c>
      <c r="L65" s="380">
        <f t="shared" si="36"/>
        <v>28909.039497057602</v>
      </c>
      <c r="M65" s="380">
        <f t="shared" si="36"/>
        <v>0</v>
      </c>
      <c r="N65" s="380">
        <f t="shared" si="36"/>
        <v>0</v>
      </c>
      <c r="O65" s="380">
        <f t="shared" si="36"/>
        <v>32187.339133125075</v>
      </c>
      <c r="P65" s="380">
        <f t="shared" si="36"/>
        <v>8357.8748911904368</v>
      </c>
      <c r="Q65" s="380">
        <f t="shared" si="36"/>
        <v>225392.39734268491</v>
      </c>
      <c r="R65" s="380">
        <f t="shared" si="36"/>
        <v>33719.503669367987</v>
      </c>
      <c r="S65" s="380">
        <f t="shared" si="36"/>
        <v>0</v>
      </c>
      <c r="T65" s="380">
        <f t="shared" si="36"/>
        <v>0</v>
      </c>
      <c r="U65" s="380">
        <f t="shared" si="36"/>
        <v>36468.255237830715</v>
      </c>
      <c r="V65" s="380">
        <f t="shared" si="36"/>
        <v>9469.4722517187674</v>
      </c>
      <c r="W65" s="380">
        <f t="shared" si="36"/>
        <v>227511.08587770621</v>
      </c>
      <c r="X65" s="380">
        <f t="shared" si="36"/>
        <v>38204.197657393932</v>
      </c>
      <c r="Y65" s="380">
        <f t="shared" si="36"/>
        <v>0</v>
      </c>
      <c r="Z65" s="380">
        <f t="shared" si="36"/>
        <v>0</v>
      </c>
      <c r="AA65" s="380">
        <f t="shared" si="36"/>
        <v>39779.572813425752</v>
      </c>
      <c r="AB65" s="380">
        <f t="shared" si="36"/>
        <v>10329.300332174833</v>
      </c>
      <c r="AC65" s="380">
        <f t="shared" si="36"/>
        <v>225190.47280175355</v>
      </c>
      <c r="AD65" s="380">
        <f t="shared" si="36"/>
        <v>41673.138804685303</v>
      </c>
      <c r="AE65" s="380">
        <f t="shared" si="36"/>
        <v>0</v>
      </c>
      <c r="AF65" s="380">
        <f t="shared" si="36"/>
        <v>0</v>
      </c>
      <c r="AG65" s="380">
        <f t="shared" si="36"/>
        <v>42670.553267641459</v>
      </c>
      <c r="AH65" s="380">
        <f t="shared" si="36"/>
        <v>11079.982233815637</v>
      </c>
      <c r="AI65" s="380">
        <f t="shared" si="36"/>
        <v>216723.31102440762</v>
      </c>
      <c r="AJ65" s="380">
        <f t="shared" si="36"/>
        <v>43866.187734281877</v>
      </c>
      <c r="AK65" s="380">
        <f t="shared" si="36"/>
        <v>0</v>
      </c>
      <c r="AL65" s="380">
        <f t="shared" si="36"/>
        <v>0</v>
      </c>
    </row>
    <row r="66" spans="7:38">
      <c r="G66" s="683" t="s">
        <v>20</v>
      </c>
      <c r="H66" s="683"/>
      <c r="I66" s="684">
        <f>I55</f>
        <v>272366.68966373731</v>
      </c>
      <c r="J66" s="684"/>
      <c r="K66" s="684"/>
      <c r="L66" s="684"/>
      <c r="M66" s="684"/>
      <c r="N66" s="684"/>
      <c r="O66" s="684">
        <f>SUM(O65:T65)</f>
        <v>299657.11503636843</v>
      </c>
      <c r="P66" s="684"/>
      <c r="Q66" s="684"/>
      <c r="R66" s="684"/>
      <c r="S66" s="684"/>
      <c r="T66" s="684"/>
      <c r="U66" s="684">
        <f>SUM(U65:Z65)</f>
        <v>311653.0110246496</v>
      </c>
      <c r="V66" s="684"/>
      <c r="W66" s="684"/>
      <c r="X66" s="684"/>
      <c r="Y66" s="684"/>
      <c r="Z66" s="684"/>
      <c r="AA66" s="684">
        <f t="shared" ref="AA66" si="37">SUM(AA65:AF65)</f>
        <v>316972.48475203948</v>
      </c>
      <c r="AB66" s="684"/>
      <c r="AC66" s="684"/>
      <c r="AD66" s="684"/>
      <c r="AE66" s="684"/>
      <c r="AF66" s="684"/>
      <c r="AG66" s="684">
        <f t="shared" ref="AG66" si="38">SUM(AG65:AL65)</f>
        <v>314340.03426014661</v>
      </c>
      <c r="AH66" s="684"/>
      <c r="AI66" s="684"/>
      <c r="AJ66" s="684"/>
      <c r="AK66" s="684"/>
      <c r="AL66" s="684"/>
    </row>
    <row r="67" spans="7:38" ht="15.75" customHeight="1">
      <c r="G67" s="686" t="s">
        <v>357</v>
      </c>
      <c r="H67" s="686"/>
      <c r="I67" s="379">
        <f>I29/$C$9</f>
        <v>162.07119756357923</v>
      </c>
      <c r="J67" s="379">
        <f>J29/$C$10</f>
        <v>42.083963110444536</v>
      </c>
      <c r="K67" s="379">
        <f>K29/$C$11</f>
        <v>1225.6988642835058</v>
      </c>
      <c r="L67" s="379">
        <f>L29/$C$12</f>
        <v>169.78602419855821</v>
      </c>
      <c r="M67" s="379">
        <f>M29/$C$9</f>
        <v>0</v>
      </c>
      <c r="N67" s="379">
        <f>N29/$C$9</f>
        <v>0</v>
      </c>
      <c r="O67" s="379">
        <f>O29/$C$9</f>
        <v>189.03984483815881</v>
      </c>
      <c r="P67" s="379">
        <f>P29/$C$10</f>
        <v>49.086734572022515</v>
      </c>
      <c r="Q67" s="379">
        <f>Q29/$C$11</f>
        <v>1323.7547734261864</v>
      </c>
      <c r="R67" s="379">
        <f>R29/$C$12</f>
        <v>198.03841862519832</v>
      </c>
      <c r="S67" s="379">
        <f>S29/$C$9</f>
        <v>0</v>
      </c>
      <c r="T67" s="379">
        <f>T29/$C$9</f>
        <v>0</v>
      </c>
      <c r="U67" s="379">
        <f>U29/$C$9</f>
        <v>214.18214420163397</v>
      </c>
      <c r="V67" s="379">
        <f>V29/$C$10</f>
        <v>55.615270270101526</v>
      </c>
      <c r="W67" s="379">
        <f>W29/$C$11</f>
        <v>1336.1980682963924</v>
      </c>
      <c r="X67" s="379">
        <f>X29/$C$12</f>
        <v>224.3775283023497</v>
      </c>
      <c r="Y67" s="379">
        <f>Y29/$C$9</f>
        <v>0</v>
      </c>
      <c r="Z67" s="379">
        <f>Z29/$C$9</f>
        <v>0</v>
      </c>
      <c r="AA67" s="379">
        <f>AA29/$C$9</f>
        <v>233.62988289514237</v>
      </c>
      <c r="AB67" s="379">
        <f>AB29/$C$10</f>
        <v>60.665136810626741</v>
      </c>
      <c r="AC67" s="379">
        <f>AC29/$C$11</f>
        <v>1322.5688479997693</v>
      </c>
      <c r="AD67" s="379">
        <f>AD29/$C$12</f>
        <v>244.7510078722031</v>
      </c>
      <c r="AE67" s="379">
        <f>AE29/$C$9</f>
        <v>0</v>
      </c>
      <c r="AF67" s="379">
        <f>AF29/$C$9</f>
        <v>0</v>
      </c>
      <c r="AG67" s="379">
        <f>AG29/$C$9</f>
        <v>250.60893463454684</v>
      </c>
      <c r="AH67" s="379">
        <f>AH29/$C$10</f>
        <v>65.073975628339042</v>
      </c>
      <c r="AI67" s="379">
        <f>AI29/$C$11</f>
        <v>1272.8402593149779</v>
      </c>
      <c r="AJ67" s="379">
        <f>AJ29/$C$12</f>
        <v>257.63102966147778</v>
      </c>
      <c r="AK67" s="379">
        <f>AK29/$C$9</f>
        <v>0</v>
      </c>
      <c r="AL67" s="379">
        <f>AL29/$C$9</f>
        <v>0</v>
      </c>
    </row>
    <row r="68" spans="7:38" ht="15.75" customHeight="1">
      <c r="G68" s="683" t="s">
        <v>196</v>
      </c>
      <c r="H68" s="683"/>
      <c r="I68" s="380">
        <f>I67*$C$33</f>
        <v>6482.8479025431698</v>
      </c>
      <c r="J68" s="380">
        <f t="shared" ref="J68:AL68" si="39">J67*$C$33</f>
        <v>1683.3585244177814</v>
      </c>
      <c r="K68" s="380">
        <f t="shared" si="39"/>
        <v>49027.954571340233</v>
      </c>
      <c r="L68" s="380">
        <f t="shared" si="39"/>
        <v>6791.4409679423279</v>
      </c>
      <c r="M68" s="380">
        <f t="shared" si="39"/>
        <v>0</v>
      </c>
      <c r="N68" s="380">
        <f t="shared" si="39"/>
        <v>0</v>
      </c>
      <c r="O68" s="380">
        <f t="shared" si="39"/>
        <v>7561.5937935263528</v>
      </c>
      <c r="P68" s="380">
        <f t="shared" si="39"/>
        <v>1963.4693828809006</v>
      </c>
      <c r="Q68" s="380">
        <f t="shared" si="39"/>
        <v>52950.190937047453</v>
      </c>
      <c r="R68" s="380">
        <f t="shared" si="39"/>
        <v>7921.536745007933</v>
      </c>
      <c r="S68" s="380">
        <f t="shared" si="39"/>
        <v>0</v>
      </c>
      <c r="T68" s="380">
        <f t="shared" si="39"/>
        <v>0</v>
      </c>
      <c r="U68" s="380">
        <f t="shared" si="39"/>
        <v>8567.2857680653597</v>
      </c>
      <c r="V68" s="380">
        <f t="shared" si="39"/>
        <v>2224.6108108040612</v>
      </c>
      <c r="W68" s="380">
        <f t="shared" si="39"/>
        <v>53447.922731855695</v>
      </c>
      <c r="X68" s="380">
        <f t="shared" si="39"/>
        <v>8975.1011320939888</v>
      </c>
      <c r="Y68" s="380">
        <f t="shared" si="39"/>
        <v>0</v>
      </c>
      <c r="Z68" s="380">
        <f t="shared" si="39"/>
        <v>0</v>
      </c>
      <c r="AA68" s="380">
        <f t="shared" si="39"/>
        <v>9345.1953158056949</v>
      </c>
      <c r="AB68" s="380">
        <f t="shared" si="39"/>
        <v>2426.6054724250698</v>
      </c>
      <c r="AC68" s="380">
        <f t="shared" si="39"/>
        <v>52902.753919990777</v>
      </c>
      <c r="AD68" s="380">
        <f t="shared" si="39"/>
        <v>9790.0403148881232</v>
      </c>
      <c r="AE68" s="380">
        <f t="shared" si="39"/>
        <v>0</v>
      </c>
      <c r="AF68" s="380">
        <f t="shared" si="39"/>
        <v>0</v>
      </c>
      <c r="AG68" s="380">
        <f t="shared" si="39"/>
        <v>10024.357385381874</v>
      </c>
      <c r="AH68" s="380">
        <f t="shared" si="39"/>
        <v>2602.9590251335617</v>
      </c>
      <c r="AI68" s="380">
        <f t="shared" si="39"/>
        <v>50913.610372599112</v>
      </c>
      <c r="AJ68" s="380">
        <f t="shared" si="39"/>
        <v>10305.241186459112</v>
      </c>
      <c r="AK68" s="380">
        <f t="shared" si="39"/>
        <v>0</v>
      </c>
      <c r="AL68" s="380">
        <f t="shared" si="39"/>
        <v>0</v>
      </c>
    </row>
    <row r="69" spans="7:38">
      <c r="G69" s="683" t="s">
        <v>20</v>
      </c>
      <c r="H69" s="683"/>
      <c r="I69" s="684">
        <f>SUM(I68:N68)</f>
        <v>63985.601966243514</v>
      </c>
      <c r="J69" s="684"/>
      <c r="K69" s="684"/>
      <c r="L69" s="684"/>
      <c r="M69" s="684"/>
      <c r="N69" s="684"/>
      <c r="O69" s="684">
        <f>SUM(O68:T68)</f>
        <v>70396.790858462642</v>
      </c>
      <c r="P69" s="684"/>
      <c r="Q69" s="684"/>
      <c r="R69" s="684"/>
      <c r="S69" s="684"/>
      <c r="T69" s="684"/>
      <c r="U69" s="684">
        <f>SUM(U68:Z68)</f>
        <v>73214.920442819101</v>
      </c>
      <c r="V69" s="684"/>
      <c r="W69" s="684"/>
      <c r="X69" s="684"/>
      <c r="Y69" s="684"/>
      <c r="Z69" s="684"/>
      <c r="AA69" s="684">
        <f>SUM(AA68:AF68)</f>
        <v>74464.595023109665</v>
      </c>
      <c r="AB69" s="684"/>
      <c r="AC69" s="684"/>
      <c r="AD69" s="684"/>
      <c r="AE69" s="684"/>
      <c r="AF69" s="684"/>
      <c r="AG69" s="684">
        <f>SUM(AG68:AL68)</f>
        <v>73846.167969573668</v>
      </c>
      <c r="AH69" s="684"/>
      <c r="AI69" s="684"/>
      <c r="AJ69" s="684"/>
      <c r="AK69" s="684"/>
      <c r="AL69" s="684"/>
    </row>
    <row r="70" spans="7:38" ht="15.75" customHeight="1">
      <c r="G70" s="686" t="s">
        <v>358</v>
      </c>
      <c r="H70" s="686"/>
      <c r="I70" s="379">
        <f>I31/$C$9</f>
        <v>224.22094696363783</v>
      </c>
      <c r="J70" s="379">
        <f>J31/$C$10</f>
        <v>58.221980231280554</v>
      </c>
      <c r="K70" s="379">
        <f>K31/$C$11</f>
        <v>1695.7199315695218</v>
      </c>
      <c r="L70" s="379">
        <f>L31/$C$12</f>
        <v>234.89419279485153</v>
      </c>
      <c r="M70" s="379">
        <f>M31/$C$9</f>
        <v>0</v>
      </c>
      <c r="N70" s="379">
        <f>N31/$C$9</f>
        <v>0</v>
      </c>
      <c r="O70" s="379">
        <f>O31/$C$9</f>
        <v>261.53131253838717</v>
      </c>
      <c r="P70" s="379">
        <f>P31/$C$10</f>
        <v>67.910117741765646</v>
      </c>
      <c r="Q70" s="379">
        <f>Q31/$C$11</f>
        <v>1831.3775260950838</v>
      </c>
      <c r="R70" s="379">
        <f>R31/$C$12</f>
        <v>273.98058647591483</v>
      </c>
      <c r="S70" s="379">
        <f>S31/$C$9</f>
        <v>0</v>
      </c>
      <c r="T70" s="379">
        <f>T31/$C$9</f>
        <v>0</v>
      </c>
      <c r="U70" s="379">
        <f>U31/$C$9</f>
        <v>296.31497710599274</v>
      </c>
      <c r="V70" s="379">
        <f>V31/$C$10</f>
        <v>76.942163401420501</v>
      </c>
      <c r="W70" s="379">
        <f>W31/$C$11</f>
        <v>1848.5924748403777</v>
      </c>
      <c r="X70" s="379">
        <f>X31/$C$12</f>
        <v>310.42000447721153</v>
      </c>
      <c r="Y70" s="379">
        <f>Y31/$C$9</f>
        <v>0</v>
      </c>
      <c r="Z70" s="379">
        <f>Z31/$C$9</f>
        <v>0</v>
      </c>
      <c r="AA70" s="379">
        <f>AA31/$C$9</f>
        <v>323.2203770272169</v>
      </c>
      <c r="AB70" s="379">
        <f>AB31/$C$10</f>
        <v>83.928511838269472</v>
      </c>
      <c r="AC70" s="379">
        <f>AC31/$C$11</f>
        <v>1829.7368315970059</v>
      </c>
      <c r="AD70" s="379">
        <f>AD31/$C$12</f>
        <v>338.60614088374234</v>
      </c>
      <c r="AE70" s="379">
        <f>AE31/$C$9</f>
        <v>0</v>
      </c>
      <c r="AF70" s="379">
        <f>AF31/$C$9</f>
        <v>0</v>
      </c>
      <c r="AG70" s="379">
        <f>AG31/$C$9</f>
        <v>346.71041792766988</v>
      </c>
      <c r="AH70" s="379">
        <f>AH31/$C$10</f>
        <v>90.02801643611572</v>
      </c>
      <c r="AI70" s="379">
        <f>AI31/$C$11</f>
        <v>1760.9387267289583</v>
      </c>
      <c r="AJ70" s="379">
        <f>AJ31/$C$12</f>
        <v>356.42528904774935</v>
      </c>
      <c r="AK70" s="379">
        <f>AK31/$C$9</f>
        <v>0</v>
      </c>
      <c r="AL70" s="379">
        <f>AL31/$C$9</f>
        <v>0</v>
      </c>
    </row>
    <row r="71" spans="7:38" ht="15.75" customHeight="1">
      <c r="G71" s="683" t="s">
        <v>196</v>
      </c>
      <c r="H71" s="683"/>
      <c r="I71" s="380">
        <f>I70*$C$28</f>
        <v>8968.8378785455134</v>
      </c>
      <c r="J71" s="380">
        <f t="shared" ref="J71:AL71" si="40">J70*$C$28</f>
        <v>2328.8792092512222</v>
      </c>
      <c r="K71" s="380">
        <f t="shared" si="40"/>
        <v>67828.797262780878</v>
      </c>
      <c r="L71" s="380">
        <f t="shared" si="40"/>
        <v>9395.7677117940621</v>
      </c>
      <c r="M71" s="380">
        <f t="shared" si="40"/>
        <v>0</v>
      </c>
      <c r="N71" s="380">
        <f t="shared" si="40"/>
        <v>0</v>
      </c>
      <c r="O71" s="380">
        <f t="shared" si="40"/>
        <v>10461.252501535488</v>
      </c>
      <c r="P71" s="380">
        <f t="shared" si="40"/>
        <v>2716.4047096706258</v>
      </c>
      <c r="Q71" s="380">
        <f t="shared" si="40"/>
        <v>73255.101043803355</v>
      </c>
      <c r="R71" s="380">
        <f t="shared" si="40"/>
        <v>10959.223459036593</v>
      </c>
      <c r="S71" s="380">
        <f t="shared" si="40"/>
        <v>0</v>
      </c>
      <c r="T71" s="380">
        <f t="shared" si="40"/>
        <v>0</v>
      </c>
      <c r="U71" s="380">
        <f t="shared" si="40"/>
        <v>11852.59908423971</v>
      </c>
      <c r="V71" s="380">
        <f t="shared" si="40"/>
        <v>3077.6865360568199</v>
      </c>
      <c r="W71" s="380">
        <f t="shared" si="40"/>
        <v>73943.698993615108</v>
      </c>
      <c r="X71" s="380">
        <f t="shared" si="40"/>
        <v>12416.800179088461</v>
      </c>
      <c r="Y71" s="380">
        <f t="shared" si="40"/>
        <v>0</v>
      </c>
      <c r="Z71" s="380">
        <f t="shared" si="40"/>
        <v>0</v>
      </c>
      <c r="AA71" s="380">
        <f t="shared" si="40"/>
        <v>12928.815081088676</v>
      </c>
      <c r="AB71" s="380">
        <f t="shared" si="40"/>
        <v>3357.1404735307788</v>
      </c>
      <c r="AC71" s="380">
        <f t="shared" si="40"/>
        <v>73189.473263880238</v>
      </c>
      <c r="AD71" s="380">
        <f t="shared" si="40"/>
        <v>13544.245635349693</v>
      </c>
      <c r="AE71" s="380">
        <f t="shared" si="40"/>
        <v>0</v>
      </c>
      <c r="AF71" s="380">
        <f t="shared" si="40"/>
        <v>0</v>
      </c>
      <c r="AG71" s="380">
        <f t="shared" si="40"/>
        <v>13868.416717106795</v>
      </c>
      <c r="AH71" s="380">
        <f t="shared" si="40"/>
        <v>3601.1206574446287</v>
      </c>
      <c r="AI71" s="380">
        <f t="shared" si="40"/>
        <v>70437.549069158325</v>
      </c>
      <c r="AJ71" s="380">
        <f t="shared" si="40"/>
        <v>14257.011561909974</v>
      </c>
      <c r="AK71" s="380">
        <f t="shared" si="40"/>
        <v>0</v>
      </c>
      <c r="AL71" s="380">
        <f t="shared" si="40"/>
        <v>0</v>
      </c>
    </row>
    <row r="72" spans="7:38">
      <c r="G72" s="683" t="s">
        <v>20</v>
      </c>
      <c r="H72" s="683"/>
      <c r="I72" s="684">
        <f>SUM(I71:N71)</f>
        <v>88522.282062371669</v>
      </c>
      <c r="J72" s="684"/>
      <c r="K72" s="684"/>
      <c r="L72" s="684"/>
      <c r="M72" s="684"/>
      <c r="N72" s="684"/>
      <c r="O72" s="684">
        <f>SUM(O71:T71)</f>
        <v>97391.981714046065</v>
      </c>
      <c r="P72" s="684"/>
      <c r="Q72" s="684"/>
      <c r="R72" s="684"/>
      <c r="S72" s="684"/>
      <c r="T72" s="684"/>
      <c r="U72" s="684">
        <f>SUM(U71:Z71)</f>
        <v>101290.7847930001</v>
      </c>
      <c r="V72" s="684"/>
      <c r="W72" s="684"/>
      <c r="X72" s="684"/>
      <c r="Y72" s="684"/>
      <c r="Z72" s="684"/>
      <c r="AA72" s="684">
        <f>SUM(AA71:AF71)</f>
        <v>103019.67445384939</v>
      </c>
      <c r="AB72" s="684"/>
      <c r="AC72" s="684"/>
      <c r="AD72" s="684"/>
      <c r="AE72" s="684"/>
      <c r="AF72" s="684"/>
      <c r="AG72" s="684">
        <f>SUM(AG71:AL71)</f>
        <v>102164.09800561971</v>
      </c>
      <c r="AH72" s="684"/>
      <c r="AI72" s="684"/>
      <c r="AJ72" s="684"/>
      <c r="AK72" s="684"/>
      <c r="AL72" s="684"/>
    </row>
    <row r="73" spans="7:38">
      <c r="G73" s="686" t="s">
        <v>359</v>
      </c>
      <c r="H73" s="686"/>
      <c r="I73" s="379">
        <f>I33/$C$9</f>
        <v>222.60990126221063</v>
      </c>
      <c r="J73" s="379">
        <f>J33/$C$10</f>
        <v>57.803650578095223</v>
      </c>
      <c r="K73" s="379">
        <f>K33/$C$11</f>
        <v>1683.5360462386723</v>
      </c>
      <c r="L73" s="379">
        <f>L33/$C$12</f>
        <v>233.20645895589965</v>
      </c>
      <c r="M73" s="379">
        <f>M33/$C$9</f>
        <v>0</v>
      </c>
      <c r="N73" s="379">
        <f>N33/$C$9</f>
        <v>0</v>
      </c>
      <c r="O73" s="379">
        <f>O33/$C$9</f>
        <v>259.65218883224247</v>
      </c>
      <c r="P73" s="379">
        <f>P33/$C$10</f>
        <v>67.422178034290283</v>
      </c>
      <c r="Q73" s="379">
        <f>Q33/$C$11</f>
        <v>1818.218929937766</v>
      </c>
      <c r="R73" s="379">
        <f>R33/$C$12</f>
        <v>272.01201372616134</v>
      </c>
      <c r="S73" s="379">
        <f>S33/$C$9</f>
        <v>0</v>
      </c>
      <c r="T73" s="379">
        <f>T33/$C$9</f>
        <v>0</v>
      </c>
      <c r="U73" s="379">
        <f>U33/$C$9</f>
        <v>294.18592994693074</v>
      </c>
      <c r="V73" s="379">
        <f>V33/$C$10</f>
        <v>76.389327712850914</v>
      </c>
      <c r="W73" s="379">
        <f>W33/$C$11</f>
        <v>1835.3101878791813</v>
      </c>
      <c r="X73" s="379">
        <f>X33/$C$12</f>
        <v>308.18961155174088</v>
      </c>
      <c r="Y73" s="379">
        <f>Y33/$C$9</f>
        <v>0</v>
      </c>
      <c r="Z73" s="379">
        <f>Z33/$C$9</f>
        <v>0</v>
      </c>
      <c r="AA73" s="379">
        <f>AA33/$C$9</f>
        <v>320.89801238611216</v>
      </c>
      <c r="AB73" s="379">
        <f>AB33/$C$10</f>
        <v>83.32547866917777</v>
      </c>
      <c r="AC73" s="379">
        <f>AC33/$C$11</f>
        <v>1816.5900239628136</v>
      </c>
      <c r="AD73" s="379">
        <f>AD33/$C$12</f>
        <v>336.17322828063902</v>
      </c>
      <c r="AE73" s="379">
        <f>AE33/$C$9</f>
        <v>0</v>
      </c>
      <c r="AF73" s="379">
        <f>AF33/$C$9</f>
        <v>0</v>
      </c>
      <c r="AG73" s="379">
        <f>AG33/$C$9</f>
        <v>344.21927543627282</v>
      </c>
      <c r="AH73" s="379">
        <f>AH33/$C$10</f>
        <v>89.381157831460271</v>
      </c>
      <c r="AI73" s="379">
        <f>AI33/$C$11</f>
        <v>1748.2862390618116</v>
      </c>
      <c r="AJ73" s="379">
        <f>AJ33/$C$12</f>
        <v>353.86434441890759</v>
      </c>
      <c r="AK73" s="379">
        <f>AK33/$C$9</f>
        <v>0</v>
      </c>
      <c r="AL73" s="379">
        <f>AL33/$C$9</f>
        <v>0</v>
      </c>
    </row>
    <row r="74" spans="7:38" ht="15" customHeight="1">
      <c r="G74" s="683" t="s">
        <v>196</v>
      </c>
      <c r="H74" s="683"/>
      <c r="I74" s="380">
        <f>I73*$C$29</f>
        <v>8904.3960504884253</v>
      </c>
      <c r="J74" s="380">
        <f t="shared" ref="J74:AL74" si="41">J73*$C$29</f>
        <v>2312.1460231238088</v>
      </c>
      <c r="K74" s="380">
        <f t="shared" si="41"/>
        <v>67341.441849546885</v>
      </c>
      <c r="L74" s="380">
        <f t="shared" si="41"/>
        <v>9328.2583582359857</v>
      </c>
      <c r="M74" s="380">
        <f t="shared" si="41"/>
        <v>0</v>
      </c>
      <c r="N74" s="380">
        <f t="shared" si="41"/>
        <v>0</v>
      </c>
      <c r="O74" s="380">
        <f t="shared" si="41"/>
        <v>10386.087553289699</v>
      </c>
      <c r="P74" s="380">
        <f t="shared" si="41"/>
        <v>2696.8871213716111</v>
      </c>
      <c r="Q74" s="380">
        <f t="shared" si="41"/>
        <v>72728.75719751064</v>
      </c>
      <c r="R74" s="380">
        <f t="shared" si="41"/>
        <v>10880.480549046453</v>
      </c>
      <c r="S74" s="380">
        <f t="shared" si="41"/>
        <v>0</v>
      </c>
      <c r="T74" s="380">
        <f t="shared" si="41"/>
        <v>0</v>
      </c>
      <c r="U74" s="380">
        <f t="shared" si="41"/>
        <v>11767.437197877229</v>
      </c>
      <c r="V74" s="380">
        <f t="shared" si="41"/>
        <v>3055.5731085140364</v>
      </c>
      <c r="W74" s="380">
        <f t="shared" si="41"/>
        <v>73412.407515167259</v>
      </c>
      <c r="X74" s="380">
        <f t="shared" si="41"/>
        <v>12327.584462069635</v>
      </c>
      <c r="Y74" s="380">
        <f t="shared" si="41"/>
        <v>0</v>
      </c>
      <c r="Z74" s="380">
        <f t="shared" si="41"/>
        <v>0</v>
      </c>
      <c r="AA74" s="380">
        <f t="shared" si="41"/>
        <v>12835.920495444487</v>
      </c>
      <c r="AB74" s="380">
        <f t="shared" si="41"/>
        <v>3333.0191467671107</v>
      </c>
      <c r="AC74" s="380">
        <f t="shared" si="41"/>
        <v>72663.600958512543</v>
      </c>
      <c r="AD74" s="380">
        <f t="shared" si="41"/>
        <v>13446.929131225561</v>
      </c>
      <c r="AE74" s="380">
        <f t="shared" si="41"/>
        <v>0</v>
      </c>
      <c r="AF74" s="380">
        <f t="shared" si="41"/>
        <v>0</v>
      </c>
      <c r="AG74" s="380">
        <f t="shared" si="41"/>
        <v>13768.771017450912</v>
      </c>
      <c r="AH74" s="380">
        <f t="shared" si="41"/>
        <v>3575.2463132584107</v>
      </c>
      <c r="AI74" s="380">
        <f t="shared" si="41"/>
        <v>69931.449562472466</v>
      </c>
      <c r="AJ74" s="380">
        <f t="shared" si="41"/>
        <v>14154.573776756304</v>
      </c>
      <c r="AK74" s="380">
        <f t="shared" si="41"/>
        <v>0</v>
      </c>
      <c r="AL74" s="380">
        <f t="shared" si="41"/>
        <v>0</v>
      </c>
    </row>
    <row r="75" spans="7:38">
      <c r="G75" s="683" t="s">
        <v>20</v>
      </c>
      <c r="H75" s="683"/>
      <c r="I75" s="684">
        <f>SUM(I74:N74)</f>
        <v>87886.242281395098</v>
      </c>
      <c r="J75" s="684"/>
      <c r="K75" s="684"/>
      <c r="L75" s="684"/>
      <c r="M75" s="684"/>
      <c r="N75" s="684"/>
      <c r="O75" s="684">
        <f>SUM(O74:T74)</f>
        <v>96692.212421218399</v>
      </c>
      <c r="P75" s="684"/>
      <c r="Q75" s="684"/>
      <c r="R75" s="684"/>
      <c r="S75" s="684"/>
      <c r="T75" s="684"/>
      <c r="U75" s="684">
        <f>SUM(U74:Z74)</f>
        <v>100563.00228362816</v>
      </c>
      <c r="V75" s="684"/>
      <c r="W75" s="684"/>
      <c r="X75" s="684"/>
      <c r="Y75" s="684"/>
      <c r="Z75" s="684"/>
      <c r="AA75" s="684">
        <f>SUM(AA74:AF74)</f>
        <v>102279.46973194971</v>
      </c>
      <c r="AB75" s="684"/>
      <c r="AC75" s="684"/>
      <c r="AD75" s="684"/>
      <c r="AE75" s="684"/>
      <c r="AF75" s="684"/>
      <c r="AG75" s="684">
        <f>SUM(AG74:AL74)</f>
        <v>101430.04066993808</v>
      </c>
      <c r="AH75" s="684"/>
      <c r="AI75" s="684"/>
      <c r="AJ75" s="684"/>
      <c r="AK75" s="684"/>
      <c r="AL75" s="684"/>
    </row>
    <row r="76" spans="7:38" ht="29.25" customHeight="1">
      <c r="G76" s="685" t="s">
        <v>20</v>
      </c>
      <c r="H76" s="685"/>
      <c r="I76" s="684">
        <f>I63+I66+I69+I72+I75</f>
        <v>1013922.5792144133</v>
      </c>
      <c r="J76" s="684"/>
      <c r="K76" s="684"/>
      <c r="L76" s="684"/>
      <c r="M76" s="684"/>
      <c r="N76" s="684"/>
      <c r="O76" s="684">
        <f t="shared" ref="O76" si="42">O63+O66+O69+O72+O75</f>
        <v>1115514.9527746248</v>
      </c>
      <c r="P76" s="684"/>
      <c r="Q76" s="684"/>
      <c r="R76" s="684"/>
      <c r="S76" s="684"/>
      <c r="T76" s="684"/>
      <c r="U76" s="684">
        <f t="shared" ref="U76" si="43">U63+U66+U69+U72+U75</f>
        <v>1160171.3305991017</v>
      </c>
      <c r="V76" s="684"/>
      <c r="W76" s="684"/>
      <c r="X76" s="684"/>
      <c r="Y76" s="684"/>
      <c r="Z76" s="684"/>
      <c r="AA76" s="684">
        <f t="shared" ref="AA76" si="44">AA63+AA66+AA69+AA72+AA75</f>
        <v>1179973.8054479801</v>
      </c>
      <c r="AB76" s="684"/>
      <c r="AC76" s="684"/>
      <c r="AD76" s="684"/>
      <c r="AE76" s="684"/>
      <c r="AF76" s="684"/>
      <c r="AG76" s="684">
        <f t="shared" ref="AG76" si="45">AG63+AG66+AG69+AG72+AG75</f>
        <v>1170174.1453071253</v>
      </c>
      <c r="AH76" s="684"/>
      <c r="AI76" s="684"/>
      <c r="AJ76" s="684"/>
      <c r="AK76" s="684"/>
      <c r="AL76" s="684"/>
    </row>
    <row r="77" spans="7:38" ht="15" customHeight="1">
      <c r="G77" s="182"/>
      <c r="H77" s="182"/>
      <c r="I77" s="183"/>
      <c r="J77" s="183"/>
      <c r="K77" s="183"/>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3"/>
      <c r="AI77" s="183"/>
      <c r="AJ77" s="183"/>
      <c r="AK77" s="183"/>
      <c r="AL77" s="183"/>
    </row>
    <row r="78" spans="7:38" ht="26.25" customHeight="1">
      <c r="G78" s="689" t="s">
        <v>97</v>
      </c>
      <c r="H78" s="689"/>
    </row>
    <row r="79" spans="7:38" ht="15" customHeight="1">
      <c r="G79" s="384"/>
      <c r="H79" s="384"/>
      <c r="I79" s="688" t="s">
        <v>11</v>
      </c>
      <c r="J79" s="688"/>
      <c r="K79" s="688"/>
      <c r="L79" s="688"/>
      <c r="M79" s="688"/>
      <c r="N79" s="688"/>
      <c r="O79" s="688" t="s">
        <v>12</v>
      </c>
      <c r="P79" s="688"/>
      <c r="Q79" s="688"/>
      <c r="R79" s="688"/>
      <c r="S79" s="688"/>
      <c r="T79" s="688"/>
      <c r="U79" s="688" t="s">
        <v>13</v>
      </c>
      <c r="V79" s="688"/>
      <c r="W79" s="688"/>
      <c r="X79" s="688"/>
      <c r="Y79" s="688"/>
      <c r="Z79" s="688"/>
      <c r="AA79" s="688" t="s">
        <v>14</v>
      </c>
      <c r="AB79" s="688"/>
      <c r="AC79" s="688"/>
      <c r="AD79" s="688"/>
      <c r="AE79" s="688"/>
      <c r="AF79" s="688"/>
      <c r="AG79" s="688" t="s">
        <v>15</v>
      </c>
      <c r="AH79" s="688"/>
      <c r="AI79" s="688"/>
      <c r="AJ79" s="688"/>
      <c r="AK79" s="688"/>
      <c r="AL79" s="688"/>
    </row>
    <row r="80" spans="7:38" ht="15" customHeight="1">
      <c r="G80" s="384"/>
      <c r="H80" s="384"/>
      <c r="I80" s="209" t="s">
        <v>23</v>
      </c>
      <c r="J80" s="211" t="s">
        <v>24</v>
      </c>
      <c r="K80" s="234" t="s">
        <v>62</v>
      </c>
      <c r="L80" s="385" t="s">
        <v>27</v>
      </c>
      <c r="M80" s="378"/>
      <c r="N80" s="378"/>
      <c r="O80" s="209" t="s">
        <v>23</v>
      </c>
      <c r="P80" s="211" t="s">
        <v>24</v>
      </c>
      <c r="Q80" s="234" t="s">
        <v>62</v>
      </c>
      <c r="R80" s="385" t="s">
        <v>27</v>
      </c>
      <c r="S80" s="378"/>
      <c r="T80" s="378"/>
      <c r="U80" s="209" t="s">
        <v>23</v>
      </c>
      <c r="V80" s="211" t="s">
        <v>24</v>
      </c>
      <c r="W80" s="234" t="s">
        <v>62</v>
      </c>
      <c r="X80" s="385" t="s">
        <v>27</v>
      </c>
      <c r="Y80" s="378"/>
      <c r="Z80" s="378"/>
      <c r="AA80" s="209" t="s">
        <v>23</v>
      </c>
      <c r="AB80" s="211" t="s">
        <v>24</v>
      </c>
      <c r="AC80" s="234" t="s">
        <v>62</v>
      </c>
      <c r="AD80" s="385" t="s">
        <v>27</v>
      </c>
      <c r="AE80" s="378"/>
      <c r="AF80" s="378"/>
      <c r="AG80" s="209" t="s">
        <v>23</v>
      </c>
      <c r="AH80" s="211" t="s">
        <v>24</v>
      </c>
      <c r="AI80" s="234" t="s">
        <v>62</v>
      </c>
      <c r="AJ80" s="385" t="s">
        <v>27</v>
      </c>
      <c r="AK80" s="378"/>
      <c r="AL80" s="378"/>
    </row>
    <row r="81" spans="7:38" ht="15" customHeight="1">
      <c r="G81" s="686" t="s">
        <v>354</v>
      </c>
      <c r="H81" s="686"/>
      <c r="I81" s="379">
        <f t="shared" ref="I81:I91" si="46">I61</f>
        <v>1269.4088145695721</v>
      </c>
      <c r="J81" s="379">
        <f t="shared" ref="J81:AL81" si="47">J61</f>
        <v>329.6190472305363</v>
      </c>
      <c r="K81" s="379">
        <f t="shared" si="47"/>
        <v>9600.1816838493069</v>
      </c>
      <c r="L81" s="379">
        <f t="shared" si="47"/>
        <v>1329.8345353672271</v>
      </c>
      <c r="M81" s="379">
        <f t="shared" si="47"/>
        <v>0</v>
      </c>
      <c r="N81" s="379">
        <f t="shared" si="47"/>
        <v>0</v>
      </c>
      <c r="O81" s="379">
        <f t="shared" si="47"/>
        <v>1480.638441313949</v>
      </c>
      <c r="P81" s="379">
        <f t="shared" si="47"/>
        <v>384.46765668969761</v>
      </c>
      <c r="Q81" s="379">
        <f t="shared" si="47"/>
        <v>10368.196218557252</v>
      </c>
      <c r="R81" s="379">
        <f t="shared" si="47"/>
        <v>1551.1190020523338</v>
      </c>
      <c r="S81" s="379">
        <f t="shared" si="47"/>
        <v>0</v>
      </c>
      <c r="T81" s="379">
        <f t="shared" si="47"/>
        <v>0</v>
      </c>
      <c r="U81" s="379">
        <f t="shared" si="47"/>
        <v>1677.5633540087044</v>
      </c>
      <c r="V81" s="379">
        <f t="shared" si="47"/>
        <v>435.60185502942744</v>
      </c>
      <c r="W81" s="379">
        <f t="shared" si="47"/>
        <v>10465.657263011692</v>
      </c>
      <c r="X81" s="379">
        <f t="shared" si="47"/>
        <v>1757.4178293252944</v>
      </c>
      <c r="Y81" s="379">
        <f t="shared" si="47"/>
        <v>0</v>
      </c>
      <c r="Z81" s="379">
        <f t="shared" si="47"/>
        <v>0</v>
      </c>
      <c r="AA81" s="379">
        <f t="shared" si="47"/>
        <v>1829.8861065526949</v>
      </c>
      <c r="AB81" s="379">
        <f t="shared" si="47"/>
        <v>475.15450346609953</v>
      </c>
      <c r="AC81" s="379">
        <f t="shared" si="47"/>
        <v>10358.907558928971</v>
      </c>
      <c r="AD81" s="379">
        <f t="shared" si="47"/>
        <v>1916.9913682280314</v>
      </c>
      <c r="AE81" s="379">
        <f t="shared" si="47"/>
        <v>0</v>
      </c>
      <c r="AF81" s="379">
        <f t="shared" si="47"/>
        <v>0</v>
      </c>
      <c r="AG81" s="379">
        <f t="shared" si="47"/>
        <v>1962.8730793464119</v>
      </c>
      <c r="AH81" s="379">
        <f t="shared" si="47"/>
        <v>509.68635700549828</v>
      </c>
      <c r="AI81" s="379">
        <f t="shared" si="47"/>
        <v>9969.4126347132405</v>
      </c>
      <c r="AJ81" s="379">
        <f t="shared" si="47"/>
        <v>2017.8730389810316</v>
      </c>
      <c r="AK81" s="379">
        <f t="shared" si="47"/>
        <v>0</v>
      </c>
      <c r="AL81" s="379">
        <f t="shared" si="47"/>
        <v>0</v>
      </c>
    </row>
    <row r="82" spans="7:38" ht="15" customHeight="1">
      <c r="G82" s="683" t="s">
        <v>355</v>
      </c>
      <c r="H82" s="683"/>
      <c r="I82" s="380">
        <f t="shared" si="46"/>
        <v>50776.352582782885</v>
      </c>
      <c r="J82" s="380">
        <f t="shared" ref="J82:AL82" si="48">J62</f>
        <v>13184.761889221452</v>
      </c>
      <c r="K82" s="380">
        <f t="shared" si="48"/>
        <v>384007.2673539723</v>
      </c>
      <c r="L82" s="380">
        <f t="shared" si="48"/>
        <v>53193.38141468908</v>
      </c>
      <c r="M82" s="380">
        <f t="shared" si="48"/>
        <v>0</v>
      </c>
      <c r="N82" s="380">
        <f t="shared" si="48"/>
        <v>0</v>
      </c>
      <c r="O82" s="380">
        <f t="shared" si="48"/>
        <v>59225.537652557963</v>
      </c>
      <c r="P82" s="380">
        <f t="shared" si="48"/>
        <v>15378.706267587904</v>
      </c>
      <c r="Q82" s="380">
        <f t="shared" si="48"/>
        <v>414727.84874229005</v>
      </c>
      <c r="R82" s="380">
        <f t="shared" si="48"/>
        <v>62044.760082093351</v>
      </c>
      <c r="S82" s="380">
        <f t="shared" si="48"/>
        <v>0</v>
      </c>
      <c r="T82" s="380">
        <f t="shared" si="48"/>
        <v>0</v>
      </c>
      <c r="U82" s="380">
        <f t="shared" si="48"/>
        <v>67102.534160348179</v>
      </c>
      <c r="V82" s="380">
        <f t="shared" si="48"/>
        <v>17424.074201177096</v>
      </c>
      <c r="W82" s="380">
        <f t="shared" si="48"/>
        <v>418626.29052046768</v>
      </c>
      <c r="X82" s="380">
        <f t="shared" si="48"/>
        <v>70296.713173011784</v>
      </c>
      <c r="Y82" s="380">
        <f t="shared" si="48"/>
        <v>0</v>
      </c>
      <c r="Z82" s="380">
        <f t="shared" si="48"/>
        <v>0</v>
      </c>
      <c r="AA82" s="380">
        <f t="shared" si="48"/>
        <v>73195.444262107791</v>
      </c>
      <c r="AB82" s="380">
        <f t="shared" si="48"/>
        <v>19006.18013864398</v>
      </c>
      <c r="AC82" s="380">
        <f t="shared" si="48"/>
        <v>414356.30235715886</v>
      </c>
      <c r="AD82" s="380">
        <f t="shared" si="48"/>
        <v>76679.654729121263</v>
      </c>
      <c r="AE82" s="380">
        <f t="shared" si="48"/>
        <v>0</v>
      </c>
      <c r="AF82" s="380">
        <f t="shared" si="48"/>
        <v>0</v>
      </c>
      <c r="AG82" s="380">
        <f t="shared" si="48"/>
        <v>78514.923173856485</v>
      </c>
      <c r="AH82" s="380">
        <f t="shared" si="48"/>
        <v>20387.454280219932</v>
      </c>
      <c r="AI82" s="380">
        <f t="shared" si="48"/>
        <v>398776.50538852962</v>
      </c>
      <c r="AJ82" s="380">
        <f t="shared" si="48"/>
        <v>80714.921559241266</v>
      </c>
      <c r="AK82" s="380">
        <f t="shared" si="48"/>
        <v>0</v>
      </c>
      <c r="AL82" s="380">
        <f t="shared" si="48"/>
        <v>0</v>
      </c>
    </row>
    <row r="83" spans="7:38" ht="15" customHeight="1">
      <c r="G83" s="683" t="s">
        <v>20</v>
      </c>
      <c r="H83" s="683"/>
      <c r="I83" s="684">
        <f t="shared" si="46"/>
        <v>501161.76324066572</v>
      </c>
      <c r="J83" s="684"/>
      <c r="K83" s="684"/>
      <c r="L83" s="684"/>
      <c r="M83" s="684"/>
      <c r="N83" s="684"/>
      <c r="O83" s="684">
        <f t="shared" ref="O83" si="49">O63</f>
        <v>551376.85274452926</v>
      </c>
      <c r="P83" s="684"/>
      <c r="Q83" s="684"/>
      <c r="R83" s="684"/>
      <c r="S83" s="684"/>
      <c r="T83" s="684"/>
      <c r="U83" s="684">
        <f t="shared" ref="U83" si="50">U63</f>
        <v>573449.61205500481</v>
      </c>
      <c r="V83" s="684"/>
      <c r="W83" s="684"/>
      <c r="X83" s="684"/>
      <c r="Y83" s="684"/>
      <c r="Z83" s="684"/>
      <c r="AA83" s="684">
        <f t="shared" ref="AA83" si="51">AA63</f>
        <v>583237.58148703189</v>
      </c>
      <c r="AB83" s="684"/>
      <c r="AC83" s="684"/>
      <c r="AD83" s="684"/>
      <c r="AE83" s="684"/>
      <c r="AF83" s="684"/>
      <c r="AG83" s="684">
        <f t="shared" ref="AG83" si="52">AG63</f>
        <v>578393.8044018473</v>
      </c>
      <c r="AH83" s="684"/>
      <c r="AI83" s="684"/>
      <c r="AJ83" s="684"/>
      <c r="AK83" s="684"/>
      <c r="AL83" s="684"/>
    </row>
    <row r="84" spans="7:38" ht="30" customHeight="1">
      <c r="G84" s="686" t="s">
        <v>356</v>
      </c>
      <c r="H84" s="686"/>
      <c r="I84" s="379">
        <f t="shared" si="46"/>
        <v>689.88638402617175</v>
      </c>
      <c r="J84" s="379">
        <f t="shared" ref="J84:AL84" si="53">J64</f>
        <v>179.13826498607759</v>
      </c>
      <c r="K84" s="379">
        <f t="shared" si="53"/>
        <v>5217.4166051547436</v>
      </c>
      <c r="L84" s="379">
        <f t="shared" si="53"/>
        <v>722.72598742644004</v>
      </c>
      <c r="M84" s="379">
        <f t="shared" si="53"/>
        <v>0</v>
      </c>
      <c r="N84" s="379">
        <f t="shared" si="53"/>
        <v>0</v>
      </c>
      <c r="O84" s="379">
        <f t="shared" si="53"/>
        <v>804.68347832812685</v>
      </c>
      <c r="P84" s="379">
        <f t="shared" si="53"/>
        <v>208.94687227976092</v>
      </c>
      <c r="Q84" s="379">
        <f t="shared" si="53"/>
        <v>5634.8099335671232</v>
      </c>
      <c r="R84" s="379">
        <f t="shared" si="53"/>
        <v>842.98759173419967</v>
      </c>
      <c r="S84" s="379">
        <f t="shared" si="53"/>
        <v>0</v>
      </c>
      <c r="T84" s="379">
        <f t="shared" si="53"/>
        <v>0</v>
      </c>
      <c r="U84" s="379">
        <f t="shared" si="53"/>
        <v>911.70638094576782</v>
      </c>
      <c r="V84" s="379">
        <f t="shared" si="53"/>
        <v>236.73680629296919</v>
      </c>
      <c r="W84" s="379">
        <f t="shared" si="53"/>
        <v>5687.7771469426552</v>
      </c>
      <c r="X84" s="379">
        <f t="shared" si="53"/>
        <v>955.10494143484823</v>
      </c>
      <c r="Y84" s="379">
        <f t="shared" si="53"/>
        <v>0</v>
      </c>
      <c r="Z84" s="379">
        <f t="shared" si="53"/>
        <v>0</v>
      </c>
      <c r="AA84" s="379">
        <f t="shared" si="53"/>
        <v>994.48932033564381</v>
      </c>
      <c r="AB84" s="379">
        <f t="shared" si="53"/>
        <v>258.23250830437081</v>
      </c>
      <c r="AC84" s="379">
        <f t="shared" si="53"/>
        <v>5629.7618200438392</v>
      </c>
      <c r="AD84" s="379">
        <f t="shared" si="53"/>
        <v>1041.8284701171326</v>
      </c>
      <c r="AE84" s="379">
        <f t="shared" si="53"/>
        <v>0</v>
      </c>
      <c r="AF84" s="379">
        <f t="shared" si="53"/>
        <v>0</v>
      </c>
      <c r="AG84" s="379">
        <f t="shared" si="53"/>
        <v>1066.7638316910366</v>
      </c>
      <c r="AH84" s="379">
        <f t="shared" si="53"/>
        <v>276.99955584539094</v>
      </c>
      <c r="AI84" s="379">
        <f t="shared" si="53"/>
        <v>5418.0827756101908</v>
      </c>
      <c r="AJ84" s="379">
        <f t="shared" si="53"/>
        <v>1096.6546933570469</v>
      </c>
      <c r="AK84" s="379">
        <f t="shared" si="53"/>
        <v>0</v>
      </c>
      <c r="AL84" s="379">
        <f t="shared" si="53"/>
        <v>0</v>
      </c>
    </row>
    <row r="85" spans="7:38" ht="15" customHeight="1">
      <c r="G85" s="683" t="s">
        <v>355</v>
      </c>
      <c r="H85" s="683"/>
      <c r="I85" s="380">
        <f t="shared" si="46"/>
        <v>27595.455361046872</v>
      </c>
      <c r="J85" s="380">
        <f t="shared" ref="J85:AL85" si="54">J65</f>
        <v>7165.5305994431037</v>
      </c>
      <c r="K85" s="380">
        <f t="shared" si="54"/>
        <v>208696.66420618974</v>
      </c>
      <c r="L85" s="380">
        <f t="shared" si="54"/>
        <v>28909.039497057602</v>
      </c>
      <c r="M85" s="380">
        <f t="shared" si="54"/>
        <v>0</v>
      </c>
      <c r="N85" s="380">
        <f t="shared" si="54"/>
        <v>0</v>
      </c>
      <c r="O85" s="380">
        <f t="shared" si="54"/>
        <v>32187.339133125075</v>
      </c>
      <c r="P85" s="380">
        <f t="shared" si="54"/>
        <v>8357.8748911904368</v>
      </c>
      <c r="Q85" s="380">
        <f t="shared" si="54"/>
        <v>225392.39734268491</v>
      </c>
      <c r="R85" s="380">
        <f t="shared" si="54"/>
        <v>33719.503669367987</v>
      </c>
      <c r="S85" s="380">
        <f t="shared" si="54"/>
        <v>0</v>
      </c>
      <c r="T85" s="380">
        <f t="shared" si="54"/>
        <v>0</v>
      </c>
      <c r="U85" s="380">
        <f t="shared" si="54"/>
        <v>36468.255237830715</v>
      </c>
      <c r="V85" s="380">
        <f t="shared" si="54"/>
        <v>9469.4722517187674</v>
      </c>
      <c r="W85" s="380">
        <f t="shared" si="54"/>
        <v>227511.08587770621</v>
      </c>
      <c r="X85" s="380">
        <f t="shared" si="54"/>
        <v>38204.197657393932</v>
      </c>
      <c r="Y85" s="380">
        <f t="shared" si="54"/>
        <v>0</v>
      </c>
      <c r="Z85" s="380">
        <f t="shared" si="54"/>
        <v>0</v>
      </c>
      <c r="AA85" s="380">
        <f t="shared" si="54"/>
        <v>39779.572813425752</v>
      </c>
      <c r="AB85" s="380">
        <f t="shared" si="54"/>
        <v>10329.300332174833</v>
      </c>
      <c r="AC85" s="380">
        <f t="shared" si="54"/>
        <v>225190.47280175355</v>
      </c>
      <c r="AD85" s="380">
        <f t="shared" si="54"/>
        <v>41673.138804685303</v>
      </c>
      <c r="AE85" s="380">
        <f t="shared" si="54"/>
        <v>0</v>
      </c>
      <c r="AF85" s="380">
        <f t="shared" si="54"/>
        <v>0</v>
      </c>
      <c r="AG85" s="380">
        <f t="shared" si="54"/>
        <v>42670.553267641459</v>
      </c>
      <c r="AH85" s="380">
        <f t="shared" si="54"/>
        <v>11079.982233815637</v>
      </c>
      <c r="AI85" s="380">
        <f t="shared" si="54"/>
        <v>216723.31102440762</v>
      </c>
      <c r="AJ85" s="380">
        <f t="shared" si="54"/>
        <v>43866.187734281877</v>
      </c>
      <c r="AK85" s="380">
        <f t="shared" si="54"/>
        <v>0</v>
      </c>
      <c r="AL85" s="380">
        <f t="shared" si="54"/>
        <v>0</v>
      </c>
    </row>
    <row r="86" spans="7:38" ht="15" customHeight="1">
      <c r="G86" s="683" t="s">
        <v>20</v>
      </c>
      <c r="H86" s="683"/>
      <c r="I86" s="684">
        <f t="shared" si="46"/>
        <v>272366.68966373731</v>
      </c>
      <c r="J86" s="684"/>
      <c r="K86" s="684"/>
      <c r="L86" s="684"/>
      <c r="M86" s="684"/>
      <c r="N86" s="684"/>
      <c r="O86" s="684">
        <f t="shared" ref="O86" si="55">O66</f>
        <v>299657.11503636843</v>
      </c>
      <c r="P86" s="684"/>
      <c r="Q86" s="684"/>
      <c r="R86" s="684"/>
      <c r="S86" s="684"/>
      <c r="T86" s="684"/>
      <c r="U86" s="684">
        <f t="shared" ref="U86" si="56">U66</f>
        <v>311653.0110246496</v>
      </c>
      <c r="V86" s="684"/>
      <c r="W86" s="684"/>
      <c r="X86" s="684"/>
      <c r="Y86" s="684"/>
      <c r="Z86" s="684"/>
      <c r="AA86" s="684">
        <f t="shared" ref="AA86" si="57">AA66</f>
        <v>316972.48475203948</v>
      </c>
      <c r="AB86" s="684"/>
      <c r="AC86" s="684"/>
      <c r="AD86" s="684"/>
      <c r="AE86" s="684"/>
      <c r="AF86" s="684"/>
      <c r="AG86" s="684">
        <f t="shared" ref="AG86" si="58">AG66</f>
        <v>314340.03426014661</v>
      </c>
      <c r="AH86" s="684"/>
      <c r="AI86" s="684"/>
      <c r="AJ86" s="684"/>
      <c r="AK86" s="684"/>
      <c r="AL86" s="684"/>
    </row>
    <row r="87" spans="7:38" ht="15" customHeight="1">
      <c r="G87" s="686" t="s">
        <v>357</v>
      </c>
      <c r="H87" s="686"/>
      <c r="I87" s="379">
        <f t="shared" si="46"/>
        <v>162.07119756357923</v>
      </c>
      <c r="J87" s="379">
        <f t="shared" ref="J87:AL87" si="59">J67</f>
        <v>42.083963110444536</v>
      </c>
      <c r="K87" s="379">
        <f t="shared" si="59"/>
        <v>1225.6988642835058</v>
      </c>
      <c r="L87" s="379">
        <f t="shared" si="59"/>
        <v>169.78602419855821</v>
      </c>
      <c r="M87" s="379">
        <f t="shared" si="59"/>
        <v>0</v>
      </c>
      <c r="N87" s="379">
        <f t="shared" si="59"/>
        <v>0</v>
      </c>
      <c r="O87" s="379">
        <f t="shared" si="59"/>
        <v>189.03984483815881</v>
      </c>
      <c r="P87" s="379">
        <f t="shared" si="59"/>
        <v>49.086734572022515</v>
      </c>
      <c r="Q87" s="379">
        <f t="shared" si="59"/>
        <v>1323.7547734261864</v>
      </c>
      <c r="R87" s="379">
        <f t="shared" si="59"/>
        <v>198.03841862519832</v>
      </c>
      <c r="S87" s="379">
        <f t="shared" si="59"/>
        <v>0</v>
      </c>
      <c r="T87" s="379">
        <f t="shared" si="59"/>
        <v>0</v>
      </c>
      <c r="U87" s="379">
        <f t="shared" si="59"/>
        <v>214.18214420163397</v>
      </c>
      <c r="V87" s="379">
        <f t="shared" si="59"/>
        <v>55.615270270101526</v>
      </c>
      <c r="W87" s="379">
        <f t="shared" si="59"/>
        <v>1336.1980682963924</v>
      </c>
      <c r="X87" s="379">
        <f t="shared" si="59"/>
        <v>224.3775283023497</v>
      </c>
      <c r="Y87" s="379">
        <f t="shared" si="59"/>
        <v>0</v>
      </c>
      <c r="Z87" s="379">
        <f t="shared" si="59"/>
        <v>0</v>
      </c>
      <c r="AA87" s="379">
        <f t="shared" si="59"/>
        <v>233.62988289514237</v>
      </c>
      <c r="AB87" s="379">
        <f t="shared" si="59"/>
        <v>60.665136810626741</v>
      </c>
      <c r="AC87" s="379">
        <f t="shared" si="59"/>
        <v>1322.5688479997693</v>
      </c>
      <c r="AD87" s="379">
        <f t="shared" si="59"/>
        <v>244.7510078722031</v>
      </c>
      <c r="AE87" s="379">
        <f t="shared" si="59"/>
        <v>0</v>
      </c>
      <c r="AF87" s="379">
        <f t="shared" si="59"/>
        <v>0</v>
      </c>
      <c r="AG87" s="379">
        <f t="shared" si="59"/>
        <v>250.60893463454684</v>
      </c>
      <c r="AH87" s="379">
        <f t="shared" si="59"/>
        <v>65.073975628339042</v>
      </c>
      <c r="AI87" s="379">
        <f t="shared" si="59"/>
        <v>1272.8402593149779</v>
      </c>
      <c r="AJ87" s="379">
        <f t="shared" si="59"/>
        <v>257.63102966147778</v>
      </c>
      <c r="AK87" s="379">
        <f t="shared" si="59"/>
        <v>0</v>
      </c>
      <c r="AL87" s="379">
        <f t="shared" si="59"/>
        <v>0</v>
      </c>
    </row>
    <row r="88" spans="7:38" ht="15" customHeight="1">
      <c r="G88" s="683" t="s">
        <v>355</v>
      </c>
      <c r="H88" s="683"/>
      <c r="I88" s="380">
        <f t="shared" si="46"/>
        <v>6482.8479025431698</v>
      </c>
      <c r="J88" s="380">
        <f t="shared" ref="J88:AL88" si="60">J68</f>
        <v>1683.3585244177814</v>
      </c>
      <c r="K88" s="380">
        <f t="shared" si="60"/>
        <v>49027.954571340233</v>
      </c>
      <c r="L88" s="380">
        <f t="shared" si="60"/>
        <v>6791.4409679423279</v>
      </c>
      <c r="M88" s="380">
        <f t="shared" si="60"/>
        <v>0</v>
      </c>
      <c r="N88" s="380">
        <f t="shared" si="60"/>
        <v>0</v>
      </c>
      <c r="O88" s="380">
        <f t="shared" si="60"/>
        <v>7561.5937935263528</v>
      </c>
      <c r="P88" s="380">
        <f t="shared" si="60"/>
        <v>1963.4693828809006</v>
      </c>
      <c r="Q88" s="380">
        <f t="shared" si="60"/>
        <v>52950.190937047453</v>
      </c>
      <c r="R88" s="380">
        <f t="shared" si="60"/>
        <v>7921.536745007933</v>
      </c>
      <c r="S88" s="380">
        <f t="shared" si="60"/>
        <v>0</v>
      </c>
      <c r="T88" s="380">
        <f t="shared" si="60"/>
        <v>0</v>
      </c>
      <c r="U88" s="380">
        <f t="shared" si="60"/>
        <v>8567.2857680653597</v>
      </c>
      <c r="V88" s="380">
        <f t="shared" si="60"/>
        <v>2224.6108108040612</v>
      </c>
      <c r="W88" s="380">
        <f t="shared" si="60"/>
        <v>53447.922731855695</v>
      </c>
      <c r="X88" s="380">
        <f t="shared" si="60"/>
        <v>8975.1011320939888</v>
      </c>
      <c r="Y88" s="380">
        <f t="shared" si="60"/>
        <v>0</v>
      </c>
      <c r="Z88" s="380">
        <f t="shared" si="60"/>
        <v>0</v>
      </c>
      <c r="AA88" s="380">
        <f t="shared" si="60"/>
        <v>9345.1953158056949</v>
      </c>
      <c r="AB88" s="380">
        <f t="shared" si="60"/>
        <v>2426.6054724250698</v>
      </c>
      <c r="AC88" s="380">
        <f t="shared" si="60"/>
        <v>52902.753919990777</v>
      </c>
      <c r="AD88" s="380">
        <f t="shared" si="60"/>
        <v>9790.0403148881232</v>
      </c>
      <c r="AE88" s="380">
        <f t="shared" si="60"/>
        <v>0</v>
      </c>
      <c r="AF88" s="380">
        <f t="shared" si="60"/>
        <v>0</v>
      </c>
      <c r="AG88" s="380">
        <f t="shared" si="60"/>
        <v>10024.357385381874</v>
      </c>
      <c r="AH88" s="380">
        <f t="shared" si="60"/>
        <v>2602.9590251335617</v>
      </c>
      <c r="AI88" s="380">
        <f t="shared" si="60"/>
        <v>50913.610372599112</v>
      </c>
      <c r="AJ88" s="380">
        <f t="shared" si="60"/>
        <v>10305.241186459112</v>
      </c>
      <c r="AK88" s="380">
        <f>AK68</f>
        <v>0</v>
      </c>
      <c r="AL88" s="380">
        <f t="shared" si="60"/>
        <v>0</v>
      </c>
    </row>
    <row r="89" spans="7:38" ht="15" customHeight="1">
      <c r="G89" s="683" t="s">
        <v>20</v>
      </c>
      <c r="H89" s="683"/>
      <c r="I89" s="684">
        <f t="shared" si="46"/>
        <v>63985.601966243514</v>
      </c>
      <c r="J89" s="684"/>
      <c r="K89" s="684"/>
      <c r="L89" s="684"/>
      <c r="M89" s="684"/>
      <c r="N89" s="684"/>
      <c r="O89" s="684">
        <f t="shared" ref="O89" si="61">O69</f>
        <v>70396.790858462642</v>
      </c>
      <c r="P89" s="684"/>
      <c r="Q89" s="684"/>
      <c r="R89" s="684"/>
      <c r="S89" s="684"/>
      <c r="T89" s="684"/>
      <c r="U89" s="684">
        <f t="shared" ref="U89" si="62">U69</f>
        <v>73214.920442819101</v>
      </c>
      <c r="V89" s="684"/>
      <c r="W89" s="684"/>
      <c r="X89" s="684"/>
      <c r="Y89" s="684"/>
      <c r="Z89" s="684"/>
      <c r="AA89" s="684">
        <f t="shared" ref="AA89" si="63">AA69</f>
        <v>74464.595023109665</v>
      </c>
      <c r="AB89" s="684"/>
      <c r="AC89" s="684"/>
      <c r="AD89" s="684"/>
      <c r="AE89" s="684"/>
      <c r="AF89" s="684"/>
      <c r="AG89" s="684">
        <f t="shared" ref="AG89" si="64">AG69</f>
        <v>73846.167969573668</v>
      </c>
      <c r="AH89" s="684"/>
      <c r="AI89" s="684"/>
      <c r="AJ89" s="684"/>
      <c r="AK89" s="684"/>
      <c r="AL89" s="684"/>
    </row>
    <row r="90" spans="7:38" ht="15" customHeight="1">
      <c r="G90" s="686" t="s">
        <v>358</v>
      </c>
      <c r="H90" s="686"/>
      <c r="I90" s="379">
        <f t="shared" si="46"/>
        <v>224.22094696363783</v>
      </c>
      <c r="J90" s="379">
        <f t="shared" ref="J90:AL90" si="65">J70</f>
        <v>58.221980231280554</v>
      </c>
      <c r="K90" s="379">
        <f t="shared" si="65"/>
        <v>1695.7199315695218</v>
      </c>
      <c r="L90" s="379">
        <f t="shared" si="65"/>
        <v>234.89419279485153</v>
      </c>
      <c r="M90" s="379">
        <f t="shared" si="65"/>
        <v>0</v>
      </c>
      <c r="N90" s="379">
        <f t="shared" si="65"/>
        <v>0</v>
      </c>
      <c r="O90" s="379">
        <f t="shared" si="65"/>
        <v>261.53131253838717</v>
      </c>
      <c r="P90" s="379">
        <f t="shared" si="65"/>
        <v>67.910117741765646</v>
      </c>
      <c r="Q90" s="379">
        <f t="shared" si="65"/>
        <v>1831.3775260950838</v>
      </c>
      <c r="R90" s="379">
        <f t="shared" si="65"/>
        <v>273.98058647591483</v>
      </c>
      <c r="S90" s="379">
        <f t="shared" si="65"/>
        <v>0</v>
      </c>
      <c r="T90" s="379">
        <f t="shared" si="65"/>
        <v>0</v>
      </c>
      <c r="U90" s="379">
        <f t="shared" si="65"/>
        <v>296.31497710599274</v>
      </c>
      <c r="V90" s="379">
        <f t="shared" si="65"/>
        <v>76.942163401420501</v>
      </c>
      <c r="W90" s="379">
        <f t="shared" si="65"/>
        <v>1848.5924748403777</v>
      </c>
      <c r="X90" s="379">
        <f t="shared" si="65"/>
        <v>310.42000447721153</v>
      </c>
      <c r="Y90" s="379">
        <f t="shared" si="65"/>
        <v>0</v>
      </c>
      <c r="Z90" s="379">
        <f t="shared" si="65"/>
        <v>0</v>
      </c>
      <c r="AA90" s="379">
        <f t="shared" si="65"/>
        <v>323.2203770272169</v>
      </c>
      <c r="AB90" s="379">
        <f t="shared" si="65"/>
        <v>83.928511838269472</v>
      </c>
      <c r="AC90" s="379">
        <f t="shared" si="65"/>
        <v>1829.7368315970059</v>
      </c>
      <c r="AD90" s="379">
        <f t="shared" si="65"/>
        <v>338.60614088374234</v>
      </c>
      <c r="AE90" s="379">
        <f t="shared" si="65"/>
        <v>0</v>
      </c>
      <c r="AF90" s="379">
        <f t="shared" si="65"/>
        <v>0</v>
      </c>
      <c r="AG90" s="379">
        <f t="shared" si="65"/>
        <v>346.71041792766988</v>
      </c>
      <c r="AH90" s="379">
        <f t="shared" si="65"/>
        <v>90.02801643611572</v>
      </c>
      <c r="AI90" s="379">
        <f t="shared" si="65"/>
        <v>1760.9387267289583</v>
      </c>
      <c r="AJ90" s="379">
        <f t="shared" si="65"/>
        <v>356.42528904774935</v>
      </c>
      <c r="AK90" s="379">
        <f t="shared" si="65"/>
        <v>0</v>
      </c>
      <c r="AL90" s="379">
        <f t="shared" si="65"/>
        <v>0</v>
      </c>
    </row>
    <row r="91" spans="7:38" ht="15" customHeight="1">
      <c r="G91" s="683" t="s">
        <v>355</v>
      </c>
      <c r="H91" s="683"/>
      <c r="I91" s="380">
        <f t="shared" si="46"/>
        <v>8968.8378785455134</v>
      </c>
      <c r="J91" s="380">
        <f t="shared" ref="J91:AL91" si="66">J71</f>
        <v>2328.8792092512222</v>
      </c>
      <c r="K91" s="380">
        <f t="shared" si="66"/>
        <v>67828.797262780878</v>
      </c>
      <c r="L91" s="380">
        <f t="shared" si="66"/>
        <v>9395.7677117940621</v>
      </c>
      <c r="M91" s="380">
        <f t="shared" si="66"/>
        <v>0</v>
      </c>
      <c r="N91" s="380">
        <f t="shared" si="66"/>
        <v>0</v>
      </c>
      <c r="O91" s="380">
        <f t="shared" si="66"/>
        <v>10461.252501535488</v>
      </c>
      <c r="P91" s="380">
        <f t="shared" si="66"/>
        <v>2716.4047096706258</v>
      </c>
      <c r="Q91" s="380">
        <f t="shared" si="66"/>
        <v>73255.101043803355</v>
      </c>
      <c r="R91" s="380">
        <f t="shared" si="66"/>
        <v>10959.223459036593</v>
      </c>
      <c r="S91" s="380">
        <f t="shared" si="66"/>
        <v>0</v>
      </c>
      <c r="T91" s="380">
        <f t="shared" si="66"/>
        <v>0</v>
      </c>
      <c r="U91" s="380">
        <f t="shared" si="66"/>
        <v>11852.59908423971</v>
      </c>
      <c r="V91" s="380">
        <f t="shared" si="66"/>
        <v>3077.6865360568199</v>
      </c>
      <c r="W91" s="380">
        <f t="shared" si="66"/>
        <v>73943.698993615108</v>
      </c>
      <c r="X91" s="380">
        <f t="shared" si="66"/>
        <v>12416.800179088461</v>
      </c>
      <c r="Y91" s="380">
        <f t="shared" si="66"/>
        <v>0</v>
      </c>
      <c r="Z91" s="380">
        <f t="shared" si="66"/>
        <v>0</v>
      </c>
      <c r="AA91" s="380">
        <f t="shared" si="66"/>
        <v>12928.815081088676</v>
      </c>
      <c r="AB91" s="380">
        <f t="shared" si="66"/>
        <v>3357.1404735307788</v>
      </c>
      <c r="AC91" s="380">
        <f t="shared" si="66"/>
        <v>73189.473263880238</v>
      </c>
      <c r="AD91" s="380">
        <f t="shared" si="66"/>
        <v>13544.245635349693</v>
      </c>
      <c r="AE91" s="380">
        <f t="shared" si="66"/>
        <v>0</v>
      </c>
      <c r="AF91" s="380">
        <f t="shared" si="66"/>
        <v>0</v>
      </c>
      <c r="AG91" s="380">
        <f t="shared" si="66"/>
        <v>13868.416717106795</v>
      </c>
      <c r="AH91" s="380">
        <f t="shared" si="66"/>
        <v>3601.1206574446287</v>
      </c>
      <c r="AI91" s="380">
        <f t="shared" si="66"/>
        <v>70437.549069158325</v>
      </c>
      <c r="AJ91" s="380">
        <f t="shared" si="66"/>
        <v>14257.011561909974</v>
      </c>
      <c r="AK91" s="380">
        <f t="shared" si="66"/>
        <v>0</v>
      </c>
      <c r="AL91" s="380">
        <f t="shared" si="66"/>
        <v>0</v>
      </c>
    </row>
    <row r="92" spans="7:38" ht="15" customHeight="1">
      <c r="G92" s="683" t="s">
        <v>20</v>
      </c>
      <c r="H92" s="683"/>
      <c r="I92" s="684">
        <f>SUM(I91:N91)</f>
        <v>88522.282062371669</v>
      </c>
      <c r="J92" s="684"/>
      <c r="K92" s="684"/>
      <c r="L92" s="684"/>
      <c r="M92" s="684"/>
      <c r="N92" s="684"/>
      <c r="O92" s="684">
        <f>SUM(O91:T91)</f>
        <v>97391.981714046065</v>
      </c>
      <c r="P92" s="684"/>
      <c r="Q92" s="684"/>
      <c r="R92" s="684"/>
      <c r="S92" s="684"/>
      <c r="T92" s="684"/>
      <c r="U92" s="684">
        <f>SUM(U91:Z91)</f>
        <v>101290.7847930001</v>
      </c>
      <c r="V92" s="684"/>
      <c r="W92" s="684"/>
      <c r="X92" s="684"/>
      <c r="Y92" s="684"/>
      <c r="Z92" s="684"/>
      <c r="AA92" s="684">
        <f>SUM(AA91:AF91)</f>
        <v>103019.67445384939</v>
      </c>
      <c r="AB92" s="684"/>
      <c r="AC92" s="684"/>
      <c r="AD92" s="684"/>
      <c r="AE92" s="684"/>
      <c r="AF92" s="684"/>
      <c r="AG92" s="684">
        <f>SUM(AG91:AL91)</f>
        <v>102164.09800561971</v>
      </c>
      <c r="AH92" s="684"/>
      <c r="AI92" s="684"/>
      <c r="AJ92" s="684"/>
      <c r="AK92" s="684"/>
      <c r="AL92" s="684"/>
    </row>
    <row r="93" spans="7:38" ht="15" customHeight="1">
      <c r="G93" s="686" t="s">
        <v>359</v>
      </c>
      <c r="H93" s="686"/>
      <c r="I93" s="379">
        <f>I73</f>
        <v>222.60990126221063</v>
      </c>
      <c r="J93" s="379">
        <f t="shared" ref="J93:AL93" si="67">J73</f>
        <v>57.803650578095223</v>
      </c>
      <c r="K93" s="379">
        <f t="shared" si="67"/>
        <v>1683.5360462386723</v>
      </c>
      <c r="L93" s="379">
        <f t="shared" si="67"/>
        <v>233.20645895589965</v>
      </c>
      <c r="M93" s="379">
        <f t="shared" si="67"/>
        <v>0</v>
      </c>
      <c r="N93" s="379">
        <f t="shared" si="67"/>
        <v>0</v>
      </c>
      <c r="O93" s="379">
        <f t="shared" si="67"/>
        <v>259.65218883224247</v>
      </c>
      <c r="P93" s="379">
        <f t="shared" si="67"/>
        <v>67.422178034290283</v>
      </c>
      <c r="Q93" s="379">
        <f t="shared" si="67"/>
        <v>1818.218929937766</v>
      </c>
      <c r="R93" s="379">
        <f t="shared" si="67"/>
        <v>272.01201372616134</v>
      </c>
      <c r="S93" s="379">
        <f t="shared" si="67"/>
        <v>0</v>
      </c>
      <c r="T93" s="379">
        <f t="shared" si="67"/>
        <v>0</v>
      </c>
      <c r="U93" s="379">
        <f t="shared" si="67"/>
        <v>294.18592994693074</v>
      </c>
      <c r="V93" s="379">
        <f t="shared" si="67"/>
        <v>76.389327712850914</v>
      </c>
      <c r="W93" s="379">
        <f t="shared" si="67"/>
        <v>1835.3101878791813</v>
      </c>
      <c r="X93" s="379">
        <f t="shared" si="67"/>
        <v>308.18961155174088</v>
      </c>
      <c r="Y93" s="379">
        <f t="shared" si="67"/>
        <v>0</v>
      </c>
      <c r="Z93" s="379">
        <f t="shared" si="67"/>
        <v>0</v>
      </c>
      <c r="AA93" s="379">
        <f t="shared" si="67"/>
        <v>320.89801238611216</v>
      </c>
      <c r="AB93" s="379">
        <f t="shared" si="67"/>
        <v>83.32547866917777</v>
      </c>
      <c r="AC93" s="379">
        <f t="shared" si="67"/>
        <v>1816.5900239628136</v>
      </c>
      <c r="AD93" s="379">
        <f t="shared" si="67"/>
        <v>336.17322828063902</v>
      </c>
      <c r="AE93" s="379">
        <f t="shared" si="67"/>
        <v>0</v>
      </c>
      <c r="AF93" s="379">
        <f t="shared" si="67"/>
        <v>0</v>
      </c>
      <c r="AG93" s="379">
        <f t="shared" si="67"/>
        <v>344.21927543627282</v>
      </c>
      <c r="AH93" s="379">
        <f t="shared" si="67"/>
        <v>89.381157831460271</v>
      </c>
      <c r="AI93" s="379">
        <f t="shared" si="67"/>
        <v>1748.2862390618116</v>
      </c>
      <c r="AJ93" s="379">
        <f t="shared" si="67"/>
        <v>353.86434441890759</v>
      </c>
      <c r="AK93" s="379">
        <f t="shared" si="67"/>
        <v>0</v>
      </c>
      <c r="AL93" s="379">
        <f t="shared" si="67"/>
        <v>0</v>
      </c>
    </row>
    <row r="94" spans="7:38" ht="15" customHeight="1">
      <c r="G94" s="683" t="s">
        <v>355</v>
      </c>
      <c r="H94" s="683"/>
      <c r="I94" s="380">
        <f>I74</f>
        <v>8904.3960504884253</v>
      </c>
      <c r="J94" s="380">
        <f t="shared" ref="J94:AL94" si="68">J74</f>
        <v>2312.1460231238088</v>
      </c>
      <c r="K94" s="380">
        <f t="shared" si="68"/>
        <v>67341.441849546885</v>
      </c>
      <c r="L94" s="380">
        <f t="shared" si="68"/>
        <v>9328.2583582359857</v>
      </c>
      <c r="M94" s="380">
        <f t="shared" si="68"/>
        <v>0</v>
      </c>
      <c r="N94" s="380">
        <f t="shared" si="68"/>
        <v>0</v>
      </c>
      <c r="O94" s="380">
        <f t="shared" si="68"/>
        <v>10386.087553289699</v>
      </c>
      <c r="P94" s="380">
        <f t="shared" si="68"/>
        <v>2696.8871213716111</v>
      </c>
      <c r="Q94" s="380">
        <f t="shared" si="68"/>
        <v>72728.75719751064</v>
      </c>
      <c r="R94" s="380">
        <f t="shared" si="68"/>
        <v>10880.480549046453</v>
      </c>
      <c r="S94" s="380">
        <f t="shared" si="68"/>
        <v>0</v>
      </c>
      <c r="T94" s="380">
        <f t="shared" si="68"/>
        <v>0</v>
      </c>
      <c r="U94" s="380">
        <f t="shared" si="68"/>
        <v>11767.437197877229</v>
      </c>
      <c r="V94" s="380">
        <f t="shared" si="68"/>
        <v>3055.5731085140364</v>
      </c>
      <c r="W94" s="380">
        <f t="shared" si="68"/>
        <v>73412.407515167259</v>
      </c>
      <c r="X94" s="380">
        <f t="shared" si="68"/>
        <v>12327.584462069635</v>
      </c>
      <c r="Y94" s="380">
        <f t="shared" si="68"/>
        <v>0</v>
      </c>
      <c r="Z94" s="380">
        <f t="shared" si="68"/>
        <v>0</v>
      </c>
      <c r="AA94" s="380">
        <f t="shared" si="68"/>
        <v>12835.920495444487</v>
      </c>
      <c r="AB94" s="380">
        <f t="shared" si="68"/>
        <v>3333.0191467671107</v>
      </c>
      <c r="AC94" s="380">
        <f t="shared" si="68"/>
        <v>72663.600958512543</v>
      </c>
      <c r="AD94" s="380">
        <f t="shared" si="68"/>
        <v>13446.929131225561</v>
      </c>
      <c r="AE94" s="380">
        <f t="shared" si="68"/>
        <v>0</v>
      </c>
      <c r="AF94" s="380">
        <f t="shared" si="68"/>
        <v>0</v>
      </c>
      <c r="AG94" s="380">
        <f t="shared" si="68"/>
        <v>13768.771017450912</v>
      </c>
      <c r="AH94" s="380">
        <f t="shared" si="68"/>
        <v>3575.2463132584107</v>
      </c>
      <c r="AI94" s="380">
        <f t="shared" si="68"/>
        <v>69931.449562472466</v>
      </c>
      <c r="AJ94" s="380">
        <f t="shared" si="68"/>
        <v>14154.573776756304</v>
      </c>
      <c r="AK94" s="380">
        <f t="shared" si="68"/>
        <v>0</v>
      </c>
      <c r="AL94" s="380">
        <f t="shared" si="68"/>
        <v>0</v>
      </c>
    </row>
    <row r="95" spans="7:38" ht="15" customHeight="1">
      <c r="G95" s="683" t="s">
        <v>20</v>
      </c>
      <c r="H95" s="683"/>
      <c r="I95" s="684">
        <f>SUM(I94:N94)</f>
        <v>87886.242281395098</v>
      </c>
      <c r="J95" s="684"/>
      <c r="K95" s="684"/>
      <c r="L95" s="684"/>
      <c r="M95" s="684"/>
      <c r="N95" s="684"/>
      <c r="O95" s="684">
        <f>SUM(O94:T94)</f>
        <v>96692.212421218399</v>
      </c>
      <c r="P95" s="684"/>
      <c r="Q95" s="684"/>
      <c r="R95" s="684"/>
      <c r="S95" s="684"/>
      <c r="T95" s="684"/>
      <c r="U95" s="684">
        <f>SUM(U94:Z94)</f>
        <v>100563.00228362816</v>
      </c>
      <c r="V95" s="684"/>
      <c r="W95" s="684"/>
      <c r="X95" s="684"/>
      <c r="Y95" s="684"/>
      <c r="Z95" s="684"/>
      <c r="AA95" s="684">
        <f>SUM(AA94:AF94)</f>
        <v>102279.46973194971</v>
      </c>
      <c r="AB95" s="684"/>
      <c r="AC95" s="684"/>
      <c r="AD95" s="684"/>
      <c r="AE95" s="684"/>
      <c r="AF95" s="684"/>
      <c r="AG95" s="684">
        <f>SUM(AG94:AL94)</f>
        <v>101430.04066993808</v>
      </c>
      <c r="AH95" s="684"/>
      <c r="AI95" s="684"/>
      <c r="AJ95" s="684"/>
      <c r="AK95" s="684"/>
      <c r="AL95" s="684"/>
    </row>
    <row r="96" spans="7:38" ht="15" customHeight="1">
      <c r="G96" s="686" t="s">
        <v>360</v>
      </c>
      <c r="H96" s="686"/>
      <c r="I96" s="379">
        <f>I35/$C$9</f>
        <v>222.07532700673704</v>
      </c>
      <c r="J96" s="379">
        <f>J35/$C$10</f>
        <v>57.664841193174638</v>
      </c>
      <c r="K96" s="379">
        <f>K35/$C$11</f>
        <v>1679.4932115607082</v>
      </c>
      <c r="L96" s="379">
        <f>L35/$C$12</f>
        <v>232.64643818206565</v>
      </c>
      <c r="M96" s="379">
        <f t="shared" ref="M96:N96" si="69">M35/$C$9</f>
        <v>0</v>
      </c>
      <c r="N96" s="379">
        <f t="shared" si="69"/>
        <v>0</v>
      </c>
      <c r="O96" s="379">
        <f>O35/$C$9</f>
        <v>259.02866142065812</v>
      </c>
      <c r="P96" s="379">
        <f>P35/$C$10</f>
        <v>67.260270767718907</v>
      </c>
      <c r="Q96" s="379">
        <f>Q35/$C$11</f>
        <v>1813.8526684855651</v>
      </c>
      <c r="R96" s="379">
        <f>R35/$C$12</f>
        <v>271.3588054955614</v>
      </c>
      <c r="S96" s="379">
        <f t="shared" ref="S96:T96" si="70">S35/$C$9</f>
        <v>0</v>
      </c>
      <c r="T96" s="379">
        <f t="shared" si="70"/>
        <v>0</v>
      </c>
      <c r="U96" s="379">
        <f>U35/$C$9</f>
        <v>293.47947338960569</v>
      </c>
      <c r="V96" s="379">
        <f>V35/$C$10</f>
        <v>76.205886779825533</v>
      </c>
      <c r="W96" s="379">
        <f>W35/$C$11</f>
        <v>1830.9028835693296</v>
      </c>
      <c r="X96" s="379">
        <f>X35/$C$12</f>
        <v>307.44952662647108</v>
      </c>
      <c r="Y96" s="379">
        <f t="shared" ref="Y96:Z96" si="71">Y35/$C$9</f>
        <v>0</v>
      </c>
      <c r="Z96" s="379">
        <f t="shared" si="71"/>
        <v>0</v>
      </c>
      <c r="AA96" s="379">
        <f>AA35/$C$9</f>
        <v>320.1274095733819</v>
      </c>
      <c r="AB96" s="379">
        <f>AB35/$C$10</f>
        <v>83.125381299433712</v>
      </c>
      <c r="AC96" s="379">
        <f>AC35/$C$11</f>
        <v>1812.2276741569224</v>
      </c>
      <c r="AD96" s="379">
        <f>AD35/$C$12</f>
        <v>335.3659436441547</v>
      </c>
      <c r="AE96" s="379">
        <f t="shared" ref="AE96:AF96" si="72">AE35/$C$9</f>
        <v>0</v>
      </c>
      <c r="AF96" s="379">
        <f t="shared" si="72"/>
        <v>0</v>
      </c>
      <c r="AG96" s="379">
        <f>AG35/$C$9</f>
        <v>343.39266906412746</v>
      </c>
      <c r="AH96" s="379">
        <f>AH35/$C$10</f>
        <v>89.16651838537004</v>
      </c>
      <c r="AI96" s="379">
        <f>AI35/$C$11</f>
        <v>1744.0879136086219</v>
      </c>
      <c r="AJ96" s="379">
        <f>AJ35/$C$12</f>
        <v>353.01457642842837</v>
      </c>
      <c r="AK96" s="379">
        <f t="shared" ref="AK96:AL96" si="73">AK35/$C$9</f>
        <v>0</v>
      </c>
      <c r="AL96" s="379">
        <f t="shared" si="73"/>
        <v>0</v>
      </c>
    </row>
    <row r="97" spans="7:38" ht="15" customHeight="1">
      <c r="G97" s="683" t="s">
        <v>355</v>
      </c>
      <c r="H97" s="683"/>
      <c r="I97" s="380">
        <f>I96*$C$35</f>
        <v>8883.0130802694821</v>
      </c>
      <c r="J97" s="380">
        <f t="shared" ref="J97:AL97" si="74">J96*$C$35</f>
        <v>2306.5936477269856</v>
      </c>
      <c r="K97" s="380">
        <f t="shared" si="74"/>
        <v>67179.728462428335</v>
      </c>
      <c r="L97" s="380">
        <f t="shared" si="74"/>
        <v>9305.8575272826256</v>
      </c>
      <c r="M97" s="380">
        <f t="shared" si="74"/>
        <v>0</v>
      </c>
      <c r="N97" s="380">
        <f t="shared" si="74"/>
        <v>0</v>
      </c>
      <c r="O97" s="380">
        <f t="shared" si="74"/>
        <v>10361.146456826325</v>
      </c>
      <c r="P97" s="380">
        <f t="shared" si="74"/>
        <v>2690.4108307087563</v>
      </c>
      <c r="Q97" s="380">
        <f t="shared" si="74"/>
        <v>72554.106739422597</v>
      </c>
      <c r="R97" s="380">
        <f t="shared" si="74"/>
        <v>10854.352219822456</v>
      </c>
      <c r="S97" s="380">
        <f t="shared" si="74"/>
        <v>0</v>
      </c>
      <c r="T97" s="380">
        <f t="shared" si="74"/>
        <v>0</v>
      </c>
      <c r="U97" s="380">
        <f t="shared" si="74"/>
        <v>11739.178935584227</v>
      </c>
      <c r="V97" s="380">
        <f t="shared" si="74"/>
        <v>3048.2354711930211</v>
      </c>
      <c r="W97" s="380">
        <f t="shared" si="74"/>
        <v>73236.115342773177</v>
      </c>
      <c r="X97" s="380">
        <f t="shared" si="74"/>
        <v>12297.981065058844</v>
      </c>
      <c r="Y97" s="380">
        <f t="shared" si="74"/>
        <v>0</v>
      </c>
      <c r="Z97" s="380">
        <f t="shared" si="74"/>
        <v>0</v>
      </c>
      <c r="AA97" s="380">
        <f t="shared" si="74"/>
        <v>12805.096382935277</v>
      </c>
      <c r="AB97" s="380">
        <f t="shared" si="74"/>
        <v>3325.0152519773483</v>
      </c>
      <c r="AC97" s="380">
        <f t="shared" si="74"/>
        <v>72489.1069662769</v>
      </c>
      <c r="AD97" s="380">
        <f t="shared" si="74"/>
        <v>13414.637745766187</v>
      </c>
      <c r="AE97" s="380">
        <f t="shared" si="74"/>
        <v>0</v>
      </c>
      <c r="AF97" s="380">
        <f t="shared" si="74"/>
        <v>0</v>
      </c>
      <c r="AG97" s="380">
        <f t="shared" si="74"/>
        <v>13735.706762565098</v>
      </c>
      <c r="AH97" s="380">
        <f t="shared" si="74"/>
        <v>3566.6607354148018</v>
      </c>
      <c r="AI97" s="380">
        <f t="shared" si="74"/>
        <v>69763.516544344879</v>
      </c>
      <c r="AJ97" s="380">
        <f t="shared" si="74"/>
        <v>14120.583057137135</v>
      </c>
      <c r="AK97" s="380">
        <f t="shared" si="74"/>
        <v>0</v>
      </c>
      <c r="AL97" s="380">
        <f t="shared" si="74"/>
        <v>0</v>
      </c>
    </row>
    <row r="98" spans="7:38" ht="15" customHeight="1">
      <c r="G98" s="683" t="s">
        <v>20</v>
      </c>
      <c r="H98" s="683"/>
      <c r="I98" s="684">
        <f>SUM(I97:N97)</f>
        <v>87675.192717707425</v>
      </c>
      <c r="J98" s="684"/>
      <c r="K98" s="684"/>
      <c r="L98" s="684"/>
      <c r="M98" s="684"/>
      <c r="N98" s="684"/>
      <c r="O98" s="684">
        <f t="shared" ref="O98" si="75">SUM(O97:T97)</f>
        <v>96460.016246780127</v>
      </c>
      <c r="P98" s="684"/>
      <c r="Q98" s="684"/>
      <c r="R98" s="684"/>
      <c r="S98" s="684"/>
      <c r="T98" s="684"/>
      <c r="U98" s="684">
        <f t="shared" ref="U98" si="76">SUM(U97:Z97)</f>
        <v>100321.51081460927</v>
      </c>
      <c r="V98" s="684"/>
      <c r="W98" s="684"/>
      <c r="X98" s="684"/>
      <c r="Y98" s="684"/>
      <c r="Z98" s="684"/>
      <c r="AA98" s="684">
        <f t="shared" ref="AA98" si="77">SUM(AA97:AF97)</f>
        <v>102033.85634695571</v>
      </c>
      <c r="AB98" s="684"/>
      <c r="AC98" s="684"/>
      <c r="AD98" s="684"/>
      <c r="AE98" s="684"/>
      <c r="AF98" s="684"/>
      <c r="AG98" s="684">
        <f t="shared" ref="AG98" si="78">SUM(AG97:AL97)</f>
        <v>101186.46709946191</v>
      </c>
      <c r="AH98" s="684"/>
      <c r="AI98" s="684"/>
      <c r="AJ98" s="684"/>
      <c r="AK98" s="684"/>
      <c r="AL98" s="684"/>
    </row>
    <row r="99" spans="7:38" ht="15" customHeight="1">
      <c r="G99" s="686" t="s">
        <v>361</v>
      </c>
      <c r="H99" s="686"/>
      <c r="I99" s="379">
        <f>I37/$C$9</f>
        <v>380.83655794738394</v>
      </c>
      <c r="J99" s="379">
        <f>J37/$C$10</f>
        <v>98.889327016165666</v>
      </c>
      <c r="K99" s="379">
        <f>K37/$C$11</f>
        <v>2880.159729619013</v>
      </c>
      <c r="L99" s="379">
        <f>L37/$C$12</f>
        <v>398.96493649332274</v>
      </c>
      <c r="M99" s="379">
        <f t="shared" ref="M99:N99" si="79">M37/$C$9</f>
        <v>0</v>
      </c>
      <c r="N99" s="379">
        <f t="shared" si="79"/>
        <v>0</v>
      </c>
      <c r="O99" s="379">
        <f>O37/$C$9</f>
        <v>444.20776118982872</v>
      </c>
      <c r="P99" s="379">
        <f>P37/$C$10</f>
        <v>115.34451103165566</v>
      </c>
      <c r="Q99" s="379">
        <f>Q37/$C$11</f>
        <v>3110.5725079885347</v>
      </c>
      <c r="R99" s="379">
        <f>R37/$C$12</f>
        <v>465.35270192581169</v>
      </c>
      <c r="S99" s="379">
        <f t="shared" ref="S99:T99" si="80">S37/$C$9</f>
        <v>0</v>
      </c>
      <c r="T99" s="379">
        <f t="shared" si="80"/>
        <v>0</v>
      </c>
      <c r="U99" s="379">
        <f>U37/$C$9</f>
        <v>503.28739342807592</v>
      </c>
      <c r="V99" s="379">
        <f>V37/$C$10</f>
        <v>130.68533099886588</v>
      </c>
      <c r="W99" s="379">
        <f>W37/$C$11</f>
        <v>3139.8118895636267</v>
      </c>
      <c r="X99" s="379">
        <f>X37/$C$12</f>
        <v>527.24461128194469</v>
      </c>
      <c r="Y99" s="379">
        <f t="shared" ref="Y99:Z99" si="81">Y37/$C$9</f>
        <v>0</v>
      </c>
      <c r="Z99" s="379">
        <f t="shared" si="81"/>
        <v>0</v>
      </c>
      <c r="AA99" s="379">
        <f>AA37/$C$9</f>
        <v>548.98588875134533</v>
      </c>
      <c r="AB99" s="379">
        <f>AB37/$C$10</f>
        <v>142.55155905356293</v>
      </c>
      <c r="AC99" s="379">
        <f>AC37/$C$11</f>
        <v>3107.785808290078</v>
      </c>
      <c r="AD99" s="379">
        <f>AD37/$C$12</f>
        <v>575.11842198634531</v>
      </c>
      <c r="AE99" s="379">
        <f t="shared" ref="AE99:AF99" si="82">AE37/$C$9</f>
        <v>0</v>
      </c>
      <c r="AF99" s="379">
        <f t="shared" si="82"/>
        <v>0</v>
      </c>
      <c r="AG99" s="379">
        <f>AG37/$C$9</f>
        <v>588.88343821634942</v>
      </c>
      <c r="AH99" s="379">
        <f>AH37/$C$10</f>
        <v>152.91149360778061</v>
      </c>
      <c r="AI99" s="379">
        <f>AI37/$C$11</f>
        <v>2990.9330618983704</v>
      </c>
      <c r="AJ99" s="379">
        <f>AJ37/$C$12</f>
        <v>605.38402894337673</v>
      </c>
      <c r="AK99" s="379">
        <f t="shared" ref="AK99:AL99" si="83">AK37/$C$9</f>
        <v>0</v>
      </c>
      <c r="AL99" s="379">
        <f t="shared" si="83"/>
        <v>0</v>
      </c>
    </row>
    <row r="100" spans="7:38" ht="15" customHeight="1">
      <c r="G100" s="683" t="s">
        <v>355</v>
      </c>
      <c r="H100" s="683"/>
      <c r="I100" s="382">
        <f>I99*$C$32</f>
        <v>15233.462317895357</v>
      </c>
      <c r="J100" s="382">
        <f t="shared" ref="J100:AL100" si="84">J99*$C$32</f>
        <v>3955.5730806466267</v>
      </c>
      <c r="K100" s="382">
        <f t="shared" si="84"/>
        <v>115206.38918476051</v>
      </c>
      <c r="L100" s="382">
        <f t="shared" si="84"/>
        <v>15958.59745973291</v>
      </c>
      <c r="M100" s="382">
        <f t="shared" si="84"/>
        <v>0</v>
      </c>
      <c r="N100" s="382">
        <f t="shared" si="84"/>
        <v>0</v>
      </c>
      <c r="O100" s="382">
        <f t="shared" si="84"/>
        <v>17768.310447593147</v>
      </c>
      <c r="P100" s="382">
        <f t="shared" si="84"/>
        <v>4613.7804412662263</v>
      </c>
      <c r="Q100" s="382">
        <f t="shared" si="84"/>
        <v>124422.90031954138</v>
      </c>
      <c r="R100" s="382">
        <f t="shared" si="84"/>
        <v>18614.108077032466</v>
      </c>
      <c r="S100" s="382">
        <f t="shared" si="84"/>
        <v>0</v>
      </c>
      <c r="T100" s="382">
        <f t="shared" si="84"/>
        <v>0</v>
      </c>
      <c r="U100" s="382">
        <f t="shared" si="84"/>
        <v>20131.495737123038</v>
      </c>
      <c r="V100" s="382">
        <f t="shared" si="84"/>
        <v>5227.4132399546352</v>
      </c>
      <c r="W100" s="382">
        <f t="shared" si="84"/>
        <v>125592.47558254507</v>
      </c>
      <c r="X100" s="382">
        <f t="shared" si="84"/>
        <v>21089.784451277788</v>
      </c>
      <c r="Y100" s="382">
        <f t="shared" si="84"/>
        <v>0</v>
      </c>
      <c r="Z100" s="382">
        <f t="shared" si="84"/>
        <v>0</v>
      </c>
      <c r="AA100" s="382">
        <f t="shared" si="84"/>
        <v>21959.435550053815</v>
      </c>
      <c r="AB100" s="382">
        <f t="shared" si="84"/>
        <v>5702.0623621425166</v>
      </c>
      <c r="AC100" s="382">
        <f t="shared" si="84"/>
        <v>124311.43233160312</v>
      </c>
      <c r="AD100" s="382">
        <f t="shared" si="84"/>
        <v>23004.736879453812</v>
      </c>
      <c r="AE100" s="382">
        <f t="shared" si="84"/>
        <v>0</v>
      </c>
      <c r="AF100" s="382">
        <f t="shared" si="84"/>
        <v>0</v>
      </c>
      <c r="AG100" s="382">
        <f t="shared" si="84"/>
        <v>23555.337528653978</v>
      </c>
      <c r="AH100" s="382">
        <f t="shared" si="84"/>
        <v>6116.4597443112243</v>
      </c>
      <c r="AI100" s="382">
        <f t="shared" si="84"/>
        <v>119637.32247593481</v>
      </c>
      <c r="AJ100" s="382">
        <f t="shared" si="84"/>
        <v>24215.361157735068</v>
      </c>
      <c r="AK100" s="382">
        <f t="shared" si="84"/>
        <v>0</v>
      </c>
      <c r="AL100" s="382">
        <f t="shared" si="84"/>
        <v>0</v>
      </c>
    </row>
    <row r="101" spans="7:38" ht="15" customHeight="1">
      <c r="G101" s="683" t="s">
        <v>20</v>
      </c>
      <c r="H101" s="683"/>
      <c r="I101" s="687">
        <f>SUM(I100:N100)</f>
        <v>150354.02204303539</v>
      </c>
      <c r="J101" s="687"/>
      <c r="K101" s="687"/>
      <c r="L101" s="687"/>
      <c r="M101" s="687"/>
      <c r="N101" s="687"/>
      <c r="O101" s="687">
        <f>SUM(O100:T100)</f>
        <v>165419.09928543321</v>
      </c>
      <c r="P101" s="687"/>
      <c r="Q101" s="687"/>
      <c r="R101" s="687"/>
      <c r="S101" s="687"/>
      <c r="T101" s="687"/>
      <c r="U101" s="687">
        <f>SUM(U100:Z100)</f>
        <v>172041.16901090051</v>
      </c>
      <c r="V101" s="687"/>
      <c r="W101" s="687"/>
      <c r="X101" s="687"/>
      <c r="Y101" s="687"/>
      <c r="Z101" s="687"/>
      <c r="AA101" s="687">
        <f>SUM(AA100:AF100)</f>
        <v>174977.66712325328</v>
      </c>
      <c r="AB101" s="687"/>
      <c r="AC101" s="687"/>
      <c r="AD101" s="687"/>
      <c r="AE101" s="687"/>
      <c r="AF101" s="687"/>
      <c r="AG101" s="687">
        <f>SUM(AG100:AL100)</f>
        <v>173524.48090663506</v>
      </c>
      <c r="AH101" s="687"/>
      <c r="AI101" s="687"/>
      <c r="AJ101" s="687"/>
      <c r="AK101" s="687"/>
      <c r="AL101" s="687"/>
    </row>
    <row r="102" spans="7:38" ht="15" customHeight="1">
      <c r="G102" s="686" t="s">
        <v>362</v>
      </c>
      <c r="H102" s="686"/>
      <c r="I102" s="379">
        <f>I39/$C$9</f>
        <v>29.958127111539973</v>
      </c>
      <c r="J102" s="379">
        <f>J39/$C$10</f>
        <v>7.7790300508236303</v>
      </c>
      <c r="K102" s="379">
        <f>K39/$C$11</f>
        <v>226.56488585685082</v>
      </c>
      <c r="L102" s="379">
        <f>L39/$C$12</f>
        <v>31.384177887055017</v>
      </c>
      <c r="M102" s="379">
        <f t="shared" ref="M102:N102" si="85">M39/$C$9</f>
        <v>0</v>
      </c>
      <c r="N102" s="379">
        <f t="shared" si="85"/>
        <v>0</v>
      </c>
      <c r="O102" s="379">
        <f>O39/$C$9</f>
        <v>34.943159462900226</v>
      </c>
      <c r="P102" s="379">
        <f>P39/$C$10</f>
        <v>9.0734606512806835</v>
      </c>
      <c r="Q102" s="379">
        <f>Q39/$C$11</f>
        <v>244.69007672539888</v>
      </c>
      <c r="R102" s="379">
        <f>R39/$C$12</f>
        <v>36.606505087460974</v>
      </c>
      <c r="S102" s="379">
        <f t="shared" ref="S102:T102" si="86">S39/$C$9</f>
        <v>0</v>
      </c>
      <c r="T102" s="379">
        <f t="shared" si="86"/>
        <v>0</v>
      </c>
      <c r="U102" s="379">
        <f>U39/$C$9</f>
        <v>39.590599671465959</v>
      </c>
      <c r="V102" s="379">
        <f>V39/$C$10</f>
        <v>10.280230917901019</v>
      </c>
      <c r="W102" s="379">
        <f>W39/$C$11</f>
        <v>246.99016344661763</v>
      </c>
      <c r="X102" s="379">
        <f>X39/$C$12</f>
        <v>41.475170264093286</v>
      </c>
      <c r="Y102" s="379">
        <f t="shared" ref="Y102:Z102" si="87">Y39/$C$9</f>
        <v>0</v>
      </c>
      <c r="Z102" s="379">
        <f t="shared" si="87"/>
        <v>0</v>
      </c>
      <c r="AA102" s="379">
        <f>AA39/$C$9</f>
        <v>43.185426121635075</v>
      </c>
      <c r="AB102" s="379">
        <f>AB39/$C$10</f>
        <v>11.213675885246431</v>
      </c>
      <c r="AC102" s="379">
        <f>AC39/$C$11</f>
        <v>244.47086377946212</v>
      </c>
      <c r="AD102" s="379">
        <f>AD39/$C$12</f>
        <v>45.241115724072969</v>
      </c>
      <c r="AE102" s="379">
        <f t="shared" ref="AE102:AF102" si="88">AE39/$C$9</f>
        <v>0</v>
      </c>
      <c r="AF102" s="379">
        <f t="shared" si="88"/>
        <v>0</v>
      </c>
      <c r="AG102" s="379">
        <f>AG39/$C$9</f>
        <v>46.323926965024903</v>
      </c>
      <c r="AH102" s="379">
        <f>AH39/$C$10</f>
        <v>12.028629780206716</v>
      </c>
      <c r="AI102" s="379">
        <f>AI39/$C$11</f>
        <v>235.27875930135437</v>
      </c>
      <c r="AJ102" s="379">
        <f>AJ39/$C$12</f>
        <v>47.621929439052309</v>
      </c>
      <c r="AK102" s="379">
        <f t="shared" ref="AK102:AL102" si="89">AK39/$C$9</f>
        <v>0</v>
      </c>
      <c r="AL102" s="379">
        <f t="shared" si="89"/>
        <v>0</v>
      </c>
    </row>
    <row r="103" spans="7:38" ht="15" customHeight="1">
      <c r="G103" s="683" t="s">
        <v>355</v>
      </c>
      <c r="H103" s="683"/>
      <c r="I103" s="380">
        <f>I102*$C$31</f>
        <v>1198.3250844615989</v>
      </c>
      <c r="J103" s="380">
        <f t="shared" ref="J103:N103" si="90">J102*$C$31</f>
        <v>311.1612020329452</v>
      </c>
      <c r="K103" s="380">
        <f t="shared" si="90"/>
        <v>9062.5954342740333</v>
      </c>
      <c r="L103" s="380">
        <f t="shared" si="90"/>
        <v>1255.3671154822007</v>
      </c>
      <c r="M103" s="380">
        <f t="shared" si="90"/>
        <v>0</v>
      </c>
      <c r="N103" s="380">
        <f t="shared" si="90"/>
        <v>0</v>
      </c>
      <c r="O103" s="380">
        <f>O102*$C$31</f>
        <v>1397.7263785160089</v>
      </c>
      <c r="P103" s="380">
        <f t="shared" ref="P103" si="91">P102*$C$31</f>
        <v>362.93842605122734</v>
      </c>
      <c r="Q103" s="380">
        <f t="shared" ref="Q103" si="92">Q102*$C$31</f>
        <v>9787.603069015955</v>
      </c>
      <c r="R103" s="380">
        <f t="shared" ref="R103" si="93">R102*$C$31</f>
        <v>1464.2602034984388</v>
      </c>
      <c r="S103" s="380">
        <f t="shared" ref="S103" si="94">S102*$C$31</f>
        <v>0</v>
      </c>
      <c r="T103" s="380">
        <f t="shared" ref="T103" si="95">T102*$C$31</f>
        <v>0</v>
      </c>
      <c r="U103" s="380">
        <f>U102*$C$31</f>
        <v>1583.6239868586383</v>
      </c>
      <c r="V103" s="380">
        <f t="shared" ref="V103" si="96">V102*$C$31</f>
        <v>411.20923671604078</v>
      </c>
      <c r="W103" s="380">
        <f t="shared" ref="W103" si="97">W102*$C$31</f>
        <v>9879.6065378647054</v>
      </c>
      <c r="X103" s="380">
        <f t="shared" ref="X103" si="98">X102*$C$31</f>
        <v>1659.0068105637315</v>
      </c>
      <c r="Y103" s="380">
        <f t="shared" ref="Y103" si="99">Y102*$C$31</f>
        <v>0</v>
      </c>
      <c r="Z103" s="380">
        <f t="shared" ref="Z103" si="100">Z102*$C$31</f>
        <v>0</v>
      </c>
      <c r="AA103" s="380">
        <f>AA102*$C$31</f>
        <v>1727.4170448654031</v>
      </c>
      <c r="AB103" s="380">
        <f t="shared" ref="AB103" si="101">AB102*$C$31</f>
        <v>448.54703540985724</v>
      </c>
      <c r="AC103" s="380">
        <f t="shared" ref="AC103" si="102">AC102*$C$31</f>
        <v>9778.8345511784846</v>
      </c>
      <c r="AD103" s="380">
        <f t="shared" ref="AD103" si="103">AD102*$C$31</f>
        <v>1809.6446289629189</v>
      </c>
      <c r="AE103" s="380">
        <f t="shared" ref="AE103" si="104">AE102*$C$31</f>
        <v>0</v>
      </c>
      <c r="AF103" s="380">
        <f t="shared" ref="AF103" si="105">AF102*$C$31</f>
        <v>0</v>
      </c>
      <c r="AG103" s="380">
        <f>AG102*$C$31</f>
        <v>1852.9570786009961</v>
      </c>
      <c r="AH103" s="380">
        <f t="shared" ref="AH103" si="106">AH102*$C$31</f>
        <v>481.14519120826861</v>
      </c>
      <c r="AI103" s="380">
        <f t="shared" ref="AI103" si="107">AI102*$C$31</f>
        <v>9411.150372054175</v>
      </c>
      <c r="AJ103" s="380">
        <f t="shared" ref="AJ103" si="108">AJ102*$C$31</f>
        <v>1904.8771775620924</v>
      </c>
      <c r="AK103" s="380">
        <f t="shared" ref="AK103" si="109">AK102*$C$31</f>
        <v>0</v>
      </c>
      <c r="AL103" s="380">
        <f t="shared" ref="AL103" si="110">AL102*$C$31</f>
        <v>0</v>
      </c>
    </row>
    <row r="104" spans="7:38" ht="15" customHeight="1">
      <c r="G104" s="683" t="s">
        <v>20</v>
      </c>
      <c r="H104" s="683"/>
      <c r="I104" s="684">
        <f>SUM(I103:N103)</f>
        <v>11827.448836250778</v>
      </c>
      <c r="J104" s="684"/>
      <c r="K104" s="684"/>
      <c r="L104" s="684"/>
      <c r="M104" s="684"/>
      <c r="N104" s="684"/>
      <c r="O104" s="684">
        <f>SUM(O103:T103)</f>
        <v>13012.52807708163</v>
      </c>
      <c r="P104" s="684"/>
      <c r="Q104" s="684"/>
      <c r="R104" s="684"/>
      <c r="S104" s="684"/>
      <c r="T104" s="684"/>
      <c r="U104" s="684">
        <f>SUM(U103:Z103)</f>
        <v>13533.446572003115</v>
      </c>
      <c r="V104" s="684"/>
      <c r="W104" s="684"/>
      <c r="X104" s="684"/>
      <c r="Y104" s="684"/>
      <c r="Z104" s="684"/>
      <c r="AA104" s="684">
        <f>SUM(AA103:AF103)</f>
        <v>13764.443260416663</v>
      </c>
      <c r="AB104" s="684"/>
      <c r="AC104" s="684"/>
      <c r="AD104" s="684"/>
      <c r="AE104" s="684"/>
      <c r="AF104" s="684"/>
      <c r="AG104" s="684">
        <f>SUM(AG103:AL103)</f>
        <v>13650.129819425532</v>
      </c>
      <c r="AH104" s="684"/>
      <c r="AI104" s="684"/>
      <c r="AJ104" s="684"/>
      <c r="AK104" s="684"/>
      <c r="AL104" s="684"/>
    </row>
    <row r="105" spans="7:38" ht="29.25" customHeight="1">
      <c r="G105" s="685" t="s">
        <v>20</v>
      </c>
      <c r="H105" s="685"/>
      <c r="I105" s="684">
        <f>I92+I95+I98+I101+I104+I89+I86+I83</f>
        <v>1263779.242811407</v>
      </c>
      <c r="J105" s="684"/>
      <c r="K105" s="684"/>
      <c r="L105" s="684"/>
      <c r="M105" s="684"/>
      <c r="N105" s="684"/>
      <c r="O105" s="684">
        <f t="shared" ref="O105" si="111">O92+O95+O98+O101+O104+O89+O86+O83</f>
        <v>1390406.5963839197</v>
      </c>
      <c r="P105" s="684"/>
      <c r="Q105" s="684"/>
      <c r="R105" s="684"/>
      <c r="S105" s="684"/>
      <c r="T105" s="684"/>
      <c r="U105" s="684">
        <f t="shared" ref="U105" si="112">U92+U95+U98+U101+U104+U89+U86+U83</f>
        <v>1446067.4569966146</v>
      </c>
      <c r="V105" s="684"/>
      <c r="W105" s="684"/>
      <c r="X105" s="684"/>
      <c r="Y105" s="684"/>
      <c r="Z105" s="684"/>
      <c r="AA105" s="684">
        <f t="shared" ref="AA105" si="113">AA92+AA95+AA98+AA101+AA104+AA89+AA86+AA83</f>
        <v>1470749.7721786059</v>
      </c>
      <c r="AB105" s="684"/>
      <c r="AC105" s="684"/>
      <c r="AD105" s="684"/>
      <c r="AE105" s="684"/>
      <c r="AF105" s="684"/>
      <c r="AG105" s="684">
        <f t="shared" ref="AG105" si="114">AG92+AG95+AG98+AG101+AG104+AG89+AG86+AG83</f>
        <v>1458535.2231326478</v>
      </c>
      <c r="AH105" s="684"/>
      <c r="AI105" s="684"/>
      <c r="AJ105" s="684"/>
      <c r="AK105" s="684"/>
      <c r="AL105" s="684"/>
    </row>
    <row r="106" spans="7:38" ht="15" customHeight="1">
      <c r="G106" s="182"/>
      <c r="H106" s="182"/>
      <c r="I106" s="183"/>
      <c r="J106" s="183"/>
      <c r="K106" s="183"/>
      <c r="L106" s="183"/>
      <c r="M106" s="183"/>
      <c r="N106" s="183"/>
      <c r="O106" s="183"/>
      <c r="P106" s="183"/>
      <c r="Q106" s="183"/>
      <c r="R106" s="183"/>
      <c r="S106" s="183"/>
      <c r="T106" s="183"/>
      <c r="U106" s="183"/>
      <c r="V106" s="183"/>
      <c r="W106" s="183"/>
      <c r="X106" s="183"/>
      <c r="Y106" s="183"/>
      <c r="Z106" s="183"/>
      <c r="AA106" s="183"/>
      <c r="AB106" s="183"/>
      <c r="AC106" s="183"/>
      <c r="AD106" s="183"/>
      <c r="AE106" s="183"/>
      <c r="AF106" s="183"/>
      <c r="AG106" s="183"/>
      <c r="AH106" s="183"/>
      <c r="AI106" s="183"/>
      <c r="AJ106" s="183"/>
      <c r="AK106" s="183"/>
      <c r="AL106" s="183"/>
    </row>
    <row r="108" spans="7:38">
      <c r="H108" s="184"/>
      <c r="I108" s="184"/>
      <c r="J108" s="184"/>
      <c r="K108" s="184"/>
      <c r="L108" s="184"/>
      <c r="M108" s="184"/>
      <c r="N108" s="184"/>
      <c r="O108" s="184"/>
    </row>
    <row r="109" spans="7:38">
      <c r="H109" s="184"/>
      <c r="I109" s="704" t="s">
        <v>197</v>
      </c>
      <c r="J109" s="704"/>
      <c r="K109" s="704"/>
      <c r="L109" s="704"/>
      <c r="M109" s="704"/>
      <c r="N109" s="704"/>
      <c r="O109" s="184"/>
      <c r="P109" s="185"/>
    </row>
    <row r="110" spans="7:38">
      <c r="H110" s="184"/>
      <c r="I110" s="406" t="s">
        <v>9</v>
      </c>
      <c r="J110" s="407" t="s">
        <v>11</v>
      </c>
      <c r="K110" s="407" t="s">
        <v>12</v>
      </c>
      <c r="L110" s="407" t="s">
        <v>13</v>
      </c>
      <c r="M110" s="407" t="s">
        <v>14</v>
      </c>
      <c r="N110" s="407" t="s">
        <v>15</v>
      </c>
      <c r="O110" s="184"/>
    </row>
    <row r="111" spans="7:38">
      <c r="H111" s="184"/>
      <c r="I111" s="406">
        <v>1</v>
      </c>
      <c r="J111" s="381">
        <f>I56</f>
        <v>773528.45290440298</v>
      </c>
      <c r="K111" s="381">
        <f>O56</f>
        <v>851033.96778089763</v>
      </c>
      <c r="L111" s="381">
        <f>U56</f>
        <v>885102.62307965441</v>
      </c>
      <c r="M111" s="381">
        <f>AA56</f>
        <v>900210.06623907131</v>
      </c>
      <c r="N111" s="381">
        <f>AG56</f>
        <v>892733.83866199385</v>
      </c>
      <c r="O111" s="184"/>
    </row>
    <row r="112" spans="7:38">
      <c r="H112" s="184"/>
      <c r="I112" s="406">
        <v>2</v>
      </c>
      <c r="J112" s="381">
        <f>I76</f>
        <v>1013922.5792144133</v>
      </c>
      <c r="K112" s="381">
        <f>O76</f>
        <v>1115514.9527746248</v>
      </c>
      <c r="L112" s="381">
        <f>U76</f>
        <v>1160171.3305991017</v>
      </c>
      <c r="M112" s="381">
        <f>AA76</f>
        <v>1179973.8054479801</v>
      </c>
      <c r="N112" s="381">
        <f>AG76</f>
        <v>1170174.1453071253</v>
      </c>
      <c r="O112" s="184"/>
    </row>
    <row r="113" spans="7:15">
      <c r="H113" s="184"/>
      <c r="I113" s="406">
        <v>3</v>
      </c>
      <c r="J113" s="381">
        <f>I105</f>
        <v>1263779.242811407</v>
      </c>
      <c r="K113" s="381">
        <f>O105</f>
        <v>1390406.5963839197</v>
      </c>
      <c r="L113" s="381">
        <f>U105</f>
        <v>1446067.4569966146</v>
      </c>
      <c r="M113" s="381">
        <f>AA105</f>
        <v>1470749.7721786059</v>
      </c>
      <c r="N113" s="381">
        <f>AG105</f>
        <v>1458535.2231326478</v>
      </c>
      <c r="O113" s="184"/>
    </row>
    <row r="114" spans="7:15">
      <c r="H114" s="184"/>
      <c r="I114" s="406"/>
      <c r="J114" s="408"/>
      <c r="K114" s="408"/>
      <c r="L114" s="408"/>
      <c r="M114" s="408"/>
      <c r="N114" s="408"/>
      <c r="O114" s="184"/>
    </row>
    <row r="115" spans="7:15">
      <c r="H115" s="184"/>
      <c r="I115" s="406"/>
      <c r="J115" s="408"/>
      <c r="K115" s="408"/>
      <c r="L115" s="408"/>
      <c r="M115" s="408"/>
      <c r="N115" s="408"/>
      <c r="O115" s="184"/>
    </row>
    <row r="116" spans="7:15">
      <c r="H116" s="184"/>
      <c r="I116" s="406"/>
      <c r="J116" s="408"/>
      <c r="K116" s="408"/>
      <c r="L116" s="408"/>
      <c r="M116" s="408"/>
      <c r="N116" s="408"/>
      <c r="O116" s="184"/>
    </row>
    <row r="117" spans="7:15">
      <c r="G117" s="186"/>
      <c r="H117" s="187"/>
      <c r="I117" s="184"/>
      <c r="J117" s="184"/>
      <c r="K117" s="184"/>
      <c r="L117" s="184"/>
      <c r="M117" s="184"/>
      <c r="N117" s="184"/>
      <c r="O117" s="184"/>
    </row>
  </sheetData>
  <mergeCells count="172">
    <mergeCell ref="AA63:AF63"/>
    <mergeCell ref="AA66:AF66"/>
    <mergeCell ref="AA69:AF69"/>
    <mergeCell ref="AA72:AF72"/>
    <mergeCell ref="AA75:AF75"/>
    <mergeCell ref="AA76:AF76"/>
    <mergeCell ref="AG55:AL55"/>
    <mergeCell ref="AG56:AL56"/>
    <mergeCell ref="I72:N72"/>
    <mergeCell ref="O59:T59"/>
    <mergeCell ref="O63:T63"/>
    <mergeCell ref="AG75:AL75"/>
    <mergeCell ref="I109:N109"/>
    <mergeCell ref="I52:N52"/>
    <mergeCell ref="I55:N55"/>
    <mergeCell ref="I56:N56"/>
    <mergeCell ref="I48:N48"/>
    <mergeCell ref="O48:T48"/>
    <mergeCell ref="O52:T52"/>
    <mergeCell ref="O55:T55"/>
    <mergeCell ref="O56:T56"/>
    <mergeCell ref="I83:N83"/>
    <mergeCell ref="I75:N75"/>
    <mergeCell ref="I76:N76"/>
    <mergeCell ref="O75:T75"/>
    <mergeCell ref="O83:T83"/>
    <mergeCell ref="O76:T76"/>
    <mergeCell ref="I59:N59"/>
    <mergeCell ref="I63:N63"/>
    <mergeCell ref="I66:N66"/>
    <mergeCell ref="O66:T66"/>
    <mergeCell ref="O69:T69"/>
    <mergeCell ref="O72:T72"/>
    <mergeCell ref="I79:N79"/>
    <mergeCell ref="O79:T79"/>
    <mergeCell ref="B26:C27"/>
    <mergeCell ref="G76:H76"/>
    <mergeCell ref="U75:Z75"/>
    <mergeCell ref="G61:H61"/>
    <mergeCell ref="G62:H62"/>
    <mergeCell ref="G63:H63"/>
    <mergeCell ref="G64:H64"/>
    <mergeCell ref="G65:H65"/>
    <mergeCell ref="G66:H66"/>
    <mergeCell ref="G73:H73"/>
    <mergeCell ref="G74:H74"/>
    <mergeCell ref="G75:H75"/>
    <mergeCell ref="G67:H67"/>
    <mergeCell ref="G68:H68"/>
    <mergeCell ref="G69:H69"/>
    <mergeCell ref="G70:H70"/>
    <mergeCell ref="G71:H71"/>
    <mergeCell ref="I69:N69"/>
    <mergeCell ref="U55:Z55"/>
    <mergeCell ref="U56:Z56"/>
    <mergeCell ref="U59:Z59"/>
    <mergeCell ref="U63:Z63"/>
    <mergeCell ref="U66:Z66"/>
    <mergeCell ref="U69:Z69"/>
    <mergeCell ref="F8:G8"/>
    <mergeCell ref="AA12:AF12"/>
    <mergeCell ref="AG12:AL12"/>
    <mergeCell ref="I11:AL11"/>
    <mergeCell ref="G51:H51"/>
    <mergeCell ref="G54:H54"/>
    <mergeCell ref="G47:H47"/>
    <mergeCell ref="G50:H50"/>
    <mergeCell ref="G53:H53"/>
    <mergeCell ref="F13:G13"/>
    <mergeCell ref="G52:H52"/>
    <mergeCell ref="AA48:AF48"/>
    <mergeCell ref="AA52:AF52"/>
    <mergeCell ref="I20:N20"/>
    <mergeCell ref="O20:T20"/>
    <mergeCell ref="U20:Z20"/>
    <mergeCell ref="AA20:AF20"/>
    <mergeCell ref="AG20:AL20"/>
    <mergeCell ref="G78:H78"/>
    <mergeCell ref="U12:Z12"/>
    <mergeCell ref="I12:N12"/>
    <mergeCell ref="O12:T12"/>
    <mergeCell ref="I18:AL19"/>
    <mergeCell ref="U48:Z48"/>
    <mergeCell ref="U52:Z52"/>
    <mergeCell ref="AG48:AL48"/>
    <mergeCell ref="AG52:AL52"/>
    <mergeCell ref="G72:H72"/>
    <mergeCell ref="G55:H55"/>
    <mergeCell ref="G58:H58"/>
    <mergeCell ref="G56:H56"/>
    <mergeCell ref="AA55:AF55"/>
    <mergeCell ref="AA56:AF56"/>
    <mergeCell ref="U72:Z72"/>
    <mergeCell ref="AG59:AL59"/>
    <mergeCell ref="AG63:AL63"/>
    <mergeCell ref="AG66:AL66"/>
    <mergeCell ref="AG69:AL69"/>
    <mergeCell ref="AG72:AL72"/>
    <mergeCell ref="AG76:AL76"/>
    <mergeCell ref="U76:Z76"/>
    <mergeCell ref="AA59:AF59"/>
    <mergeCell ref="U79:Z79"/>
    <mergeCell ref="AA79:AF79"/>
    <mergeCell ref="AG79:AL79"/>
    <mergeCell ref="G81:H81"/>
    <mergeCell ref="G82:H82"/>
    <mergeCell ref="G83:H83"/>
    <mergeCell ref="U83:Z83"/>
    <mergeCell ref="AA83:AF83"/>
    <mergeCell ref="AG83:AL83"/>
    <mergeCell ref="G84:H84"/>
    <mergeCell ref="G85:H85"/>
    <mergeCell ref="G86:H86"/>
    <mergeCell ref="I86:N86"/>
    <mergeCell ref="O86:T86"/>
    <mergeCell ref="U86:Z86"/>
    <mergeCell ref="AA86:AF86"/>
    <mergeCell ref="AG86:AL86"/>
    <mergeCell ref="G87:H87"/>
    <mergeCell ref="G88:H88"/>
    <mergeCell ref="G89:H89"/>
    <mergeCell ref="I89:N89"/>
    <mergeCell ref="O89:T89"/>
    <mergeCell ref="U89:Z89"/>
    <mergeCell ref="AA89:AF89"/>
    <mergeCell ref="AG89:AL89"/>
    <mergeCell ref="G90:H90"/>
    <mergeCell ref="G91:H91"/>
    <mergeCell ref="G96:H96"/>
    <mergeCell ref="G97:H97"/>
    <mergeCell ref="G98:H98"/>
    <mergeCell ref="I98:N98"/>
    <mergeCell ref="O98:T98"/>
    <mergeCell ref="U98:Z98"/>
    <mergeCell ref="AA98:AF98"/>
    <mergeCell ref="AG98:AL98"/>
    <mergeCell ref="G92:H92"/>
    <mergeCell ref="I92:N92"/>
    <mergeCell ref="O92:T92"/>
    <mergeCell ref="U92:Z92"/>
    <mergeCell ref="AA92:AF92"/>
    <mergeCell ref="AG92:AL92"/>
    <mergeCell ref="G93:H93"/>
    <mergeCell ref="G94:H94"/>
    <mergeCell ref="G95:H95"/>
    <mergeCell ref="I95:N95"/>
    <mergeCell ref="O95:T95"/>
    <mergeCell ref="U95:Z95"/>
    <mergeCell ref="AA95:AF95"/>
    <mergeCell ref="AG95:AL95"/>
    <mergeCell ref="G99:H99"/>
    <mergeCell ref="G100:H100"/>
    <mergeCell ref="G101:H101"/>
    <mergeCell ref="I101:N101"/>
    <mergeCell ref="O101:T101"/>
    <mergeCell ref="U101:Z101"/>
    <mergeCell ref="AA101:AF101"/>
    <mergeCell ref="AG101:AL101"/>
    <mergeCell ref="G102:H102"/>
    <mergeCell ref="G103:H103"/>
    <mergeCell ref="G104:H104"/>
    <mergeCell ref="I104:N104"/>
    <mergeCell ref="O104:T104"/>
    <mergeCell ref="U104:Z104"/>
    <mergeCell ref="AA104:AF104"/>
    <mergeCell ref="AG104:AL104"/>
    <mergeCell ref="G105:H105"/>
    <mergeCell ref="I105:N105"/>
    <mergeCell ref="O105:T105"/>
    <mergeCell ref="U105:Z105"/>
    <mergeCell ref="AA105:AF105"/>
    <mergeCell ref="AG105:AL10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6AC96-5633-4063-ADEC-1E55FCB33E3D}">
  <sheetPr>
    <tabColor rgb="FFFFC000"/>
  </sheetPr>
  <dimension ref="B1:P107"/>
  <sheetViews>
    <sheetView topLeftCell="A67" zoomScale="85" zoomScaleNormal="85" workbookViewId="0">
      <selection activeCell="R76" sqref="N71:R76"/>
    </sheetView>
  </sheetViews>
  <sheetFormatPr defaultColWidth="10.7109375" defaultRowHeight="14.25"/>
  <cols>
    <col min="1" max="2" width="10.7109375" style="1"/>
    <col min="3" max="3" width="53.42578125" style="1" customWidth="1"/>
    <col min="4" max="8" width="28.7109375" style="1" customWidth="1"/>
    <col min="9" max="9" width="11.140625" style="1" customWidth="1"/>
    <col min="10" max="10" width="35.7109375" style="1" customWidth="1"/>
    <col min="11" max="11" width="29.140625" style="1" customWidth="1"/>
    <col min="12" max="12" width="27.42578125" style="1" customWidth="1"/>
    <col min="13" max="13" width="24.42578125" style="1" customWidth="1"/>
    <col min="14" max="14" width="26.7109375" style="1" customWidth="1"/>
    <col min="15" max="15" width="29.7109375" style="1" customWidth="1"/>
    <col min="16" max="16384" width="10.7109375" style="1"/>
  </cols>
  <sheetData>
    <row r="1" spans="2:15" s="258" customFormat="1" ht="22.9" customHeight="1">
      <c r="B1" s="259"/>
    </row>
    <row r="2" spans="2:15" s="258" customFormat="1" ht="22.9" customHeight="1">
      <c r="B2" s="259"/>
      <c r="C2" s="327" t="s">
        <v>369</v>
      </c>
      <c r="D2" s="260"/>
    </row>
    <row r="3" spans="2:15" s="258" customFormat="1" ht="22.9" customHeight="1">
      <c r="B3" s="259"/>
      <c r="C3" s="327" t="s">
        <v>381</v>
      </c>
      <c r="D3" s="260"/>
    </row>
    <row r="4" spans="2:15" s="258" customFormat="1" ht="22.9" customHeight="1">
      <c r="B4" s="259"/>
      <c r="C4" s="261"/>
    </row>
    <row r="5" spans="2:15" s="68" customFormat="1" ht="18" customHeight="1">
      <c r="B5" s="69"/>
      <c r="C5" s="70"/>
    </row>
    <row r="6" spans="2:15" s="11" customFormat="1" ht="17.25" customHeight="1" thickBot="1"/>
    <row r="7" spans="2:15" s="11" customFormat="1" ht="17.25" customHeight="1">
      <c r="C7" s="710" t="s">
        <v>198</v>
      </c>
      <c r="D7" s="711"/>
      <c r="E7" s="711"/>
      <c r="F7" s="711"/>
      <c r="G7" s="711"/>
      <c r="H7" s="711"/>
      <c r="I7" s="712"/>
      <c r="J7" s="194"/>
      <c r="K7" s="194"/>
      <c r="L7" s="194"/>
      <c r="M7" s="194"/>
      <c r="N7" s="194"/>
      <c r="O7" s="194"/>
    </row>
    <row r="8" spans="2:15" s="11" customFormat="1" ht="17.25" customHeight="1"/>
    <row r="9" spans="2:15" s="11" customFormat="1" ht="17.25" customHeight="1">
      <c r="C9" s="715" t="s">
        <v>34</v>
      </c>
      <c r="D9" s="716"/>
      <c r="E9" s="716"/>
      <c r="F9" s="716"/>
      <c r="G9" s="716"/>
      <c r="H9" s="717"/>
      <c r="I9" s="195"/>
      <c r="J9" s="196"/>
      <c r="K9" s="26"/>
      <c r="L9" s="26"/>
      <c r="M9" s="26"/>
      <c r="N9" s="26"/>
      <c r="O9" s="26"/>
    </row>
    <row r="10" spans="2:15" s="11" customFormat="1" ht="17.25" customHeight="1">
      <c r="C10" s="713" t="s">
        <v>199</v>
      </c>
      <c r="D10" s="713"/>
      <c r="E10" s="713"/>
      <c r="F10" s="713"/>
      <c r="G10" s="713"/>
      <c r="H10" s="713"/>
      <c r="I10" s="194"/>
      <c r="J10" s="194"/>
      <c r="K10" s="194"/>
      <c r="L10" s="194"/>
      <c r="M10" s="194"/>
      <c r="N10" s="194"/>
      <c r="O10" s="194"/>
    </row>
    <row r="11" spans="2:15" s="11" customFormat="1" ht="17.25" customHeight="1">
      <c r="J11" s="194"/>
      <c r="K11" s="194"/>
      <c r="L11" s="194"/>
      <c r="M11" s="194"/>
      <c r="N11" s="194"/>
      <c r="O11" s="194"/>
    </row>
    <row r="12" spans="2:15" s="11" customFormat="1" ht="17.25" customHeight="1">
      <c r="C12" s="197" t="s">
        <v>117</v>
      </c>
      <c r="D12" s="198">
        <f>+VLOOKUP(Dashboard!D19,'INITIAL INVESTMENT'!C41:D42,2,FALSE)</f>
        <v>287748</v>
      </c>
      <c r="F12" s="199"/>
      <c r="G12" s="200"/>
      <c r="J12" s="161"/>
      <c r="K12" s="201"/>
      <c r="L12" s="194"/>
      <c r="M12" s="194"/>
      <c r="N12" s="194"/>
      <c r="O12" s="194"/>
    </row>
    <row r="13" spans="2:15" s="11" customFormat="1" ht="17.25" customHeight="1">
      <c r="C13" s="202" t="s">
        <v>200</v>
      </c>
      <c r="D13" s="198">
        <f>VLOOKUP(Dashboard!D12,'INITIAL INVESTMENT'!C34:D39,2,FALSE)</f>
        <v>145527852.37664893</v>
      </c>
      <c r="F13" s="199"/>
      <c r="G13" s="203"/>
      <c r="J13" s="161"/>
      <c r="K13" s="204"/>
      <c r="L13" s="194"/>
      <c r="M13" s="194"/>
      <c r="N13" s="194"/>
      <c r="O13" s="194"/>
    </row>
    <row r="14" spans="2:15" s="11" customFormat="1" ht="17.25" customHeight="1">
      <c r="C14" s="205" t="s">
        <v>119</v>
      </c>
      <c r="D14" s="198">
        <f>SUM(D12:D13)</f>
        <v>145815600.37664893</v>
      </c>
      <c r="E14" s="201"/>
      <c r="F14" s="199"/>
      <c r="G14" s="203"/>
      <c r="L14" s="201"/>
      <c r="M14" s="201"/>
    </row>
    <row r="15" spans="2:15" s="11" customFormat="1" ht="17.25" customHeight="1">
      <c r="C15" s="206" t="s">
        <v>201</v>
      </c>
      <c r="D15" s="198">
        <f>D14/5</f>
        <v>29163120.075329788</v>
      </c>
      <c r="E15" s="204"/>
      <c r="F15" s="199"/>
      <c r="G15" s="203"/>
      <c r="L15" s="204"/>
      <c r="M15" s="204"/>
    </row>
    <row r="16" spans="2:15" s="11" customFormat="1" ht="17.25" customHeight="1"/>
    <row r="17" spans="3:15" s="11" customFormat="1" ht="17.25" customHeight="1">
      <c r="K17" s="19"/>
      <c r="L17" s="19"/>
      <c r="M17" s="19"/>
      <c r="N17" s="19"/>
      <c r="O17" s="19"/>
    </row>
    <row r="18" spans="3:15" s="11" customFormat="1" ht="17.25" customHeight="1">
      <c r="C18" s="410" t="s">
        <v>202</v>
      </c>
      <c r="D18" s="411" t="s">
        <v>11</v>
      </c>
      <c r="E18" s="411" t="s">
        <v>12</v>
      </c>
      <c r="F18" s="411" t="s">
        <v>13</v>
      </c>
      <c r="G18" s="411" t="s">
        <v>14</v>
      </c>
      <c r="H18" s="411" t="s">
        <v>15</v>
      </c>
      <c r="J18" s="22"/>
      <c r="K18" s="207"/>
      <c r="L18" s="207"/>
      <c r="M18" s="207"/>
      <c r="N18" s="207"/>
      <c r="O18" s="207"/>
    </row>
    <row r="19" spans="3:15" s="11" customFormat="1" ht="17.25" customHeight="1">
      <c r="C19" s="412" t="s">
        <v>203</v>
      </c>
      <c r="D19" s="198">
        <f>VLOOKUP(Dashboard!$D$19,'HANDLING COSTS'!$I$58:$N$59,2,FALSE)</f>
        <v>964210.82460577693</v>
      </c>
      <c r="E19" s="198">
        <f>VLOOKUP(Dashboard!$D$19,'HANDLING COSTS'!$I$58:$N$59,3,FALSE)</f>
        <v>1028900.5160367404</v>
      </c>
      <c r="F19" s="198">
        <f>VLOOKUP(Dashboard!$D$19,'HANDLING COSTS'!$I$58:$N$59,4,FALSE)</f>
        <v>1137172.8368617669</v>
      </c>
      <c r="G19" s="198">
        <f>VLOOKUP(Dashboard!$D$19,'HANDLING COSTS'!$I$58:$N$59,5,FALSE)</f>
        <v>1251507.9922914701</v>
      </c>
      <c r="H19" s="198">
        <f>VLOOKUP(Dashboard!$D$19,'HANDLING COSTS'!$I$58:$N$59,6,FALSE)</f>
        <v>1380862.5123971903</v>
      </c>
    </row>
    <row r="20" spans="3:15" s="11" customFormat="1" ht="17.25" customHeight="1">
      <c r="C20" s="413" t="s">
        <v>204</v>
      </c>
      <c r="D20" s="198">
        <f>VLOOKUP(Dashboard!$D$12,'HANDLING COSTS'!$I$63:$N$65,2,FALSE)</f>
        <v>550471.650381963</v>
      </c>
      <c r="E20" s="198">
        <f>VLOOKUP(Dashboard!$D$12,'HANDLING COSTS'!$I$63:$N$65,3,FALSE)</f>
        <v>577995.23290106107</v>
      </c>
      <c r="F20" s="198">
        <f>VLOOKUP(Dashboard!$D$12,'HANDLING COSTS'!$I$63:$N$65,4,FALSE)</f>
        <v>606894.99454611423</v>
      </c>
      <c r="G20" s="198">
        <f>VLOOKUP(Dashboard!$D$12,'HANDLING COSTS'!$I$63:$N$65,5,FALSE)</f>
        <v>637239.74427342007</v>
      </c>
      <c r="H20" s="198">
        <f>VLOOKUP(Dashboard!$D$12,'HANDLING COSTS'!$I$63:$N$65,6,FALSE)</f>
        <v>669101.73148709105</v>
      </c>
    </row>
    <row r="21" spans="3:15" s="11" customFormat="1" ht="17.25" customHeight="1">
      <c r="C21" s="414" t="s">
        <v>205</v>
      </c>
      <c r="D21" s="198">
        <f>$D$15</f>
        <v>29163120.075329788</v>
      </c>
      <c r="E21" s="198">
        <f t="shared" ref="E21:H21" si="0">$D$15</f>
        <v>29163120.075329788</v>
      </c>
      <c r="F21" s="198">
        <f t="shared" si="0"/>
        <v>29163120.075329788</v>
      </c>
      <c r="G21" s="198">
        <f t="shared" si="0"/>
        <v>29163120.075329788</v>
      </c>
      <c r="H21" s="198">
        <f t="shared" si="0"/>
        <v>29163120.075329788</v>
      </c>
    </row>
    <row r="22" spans="3:15" s="11" customFormat="1" ht="17.25" customHeight="1">
      <c r="C22" s="415" t="s">
        <v>20</v>
      </c>
      <c r="D22" s="208">
        <f>SUM(D19:D21)</f>
        <v>30677802.55031753</v>
      </c>
      <c r="E22" s="208">
        <f t="shared" ref="E22:H22" si="1">SUM(E19:E21)</f>
        <v>30770015.824267589</v>
      </c>
      <c r="F22" s="208">
        <f t="shared" si="1"/>
        <v>30907187.90673767</v>
      </c>
      <c r="G22" s="208">
        <f t="shared" si="1"/>
        <v>31051867.811894678</v>
      </c>
      <c r="H22" s="208">
        <f t="shared" si="1"/>
        <v>31213084.319214068</v>
      </c>
    </row>
    <row r="23" spans="3:15" s="11" customFormat="1" ht="17.25" customHeight="1"/>
    <row r="24" spans="3:15" s="11" customFormat="1" ht="17.25" customHeight="1">
      <c r="C24" s="150" t="s">
        <v>206</v>
      </c>
      <c r="D24" s="411" t="s">
        <v>11</v>
      </c>
      <c r="E24" s="411" t="s">
        <v>12</v>
      </c>
      <c r="F24" s="411" t="s">
        <v>13</v>
      </c>
      <c r="G24" s="411" t="s">
        <v>14</v>
      </c>
      <c r="H24" s="411" t="s">
        <v>15</v>
      </c>
    </row>
    <row r="25" spans="3:15" s="11" customFormat="1" ht="17.25" customHeight="1">
      <c r="C25" s="209" t="s">
        <v>31</v>
      </c>
      <c r="D25" s="210">
        <f>'INITIAL DATA'!J20</f>
        <v>0.10057441325804145</v>
      </c>
      <c r="E25" s="210">
        <f>'INITIAL DATA'!N20</f>
        <v>0.10420905141751216</v>
      </c>
      <c r="F25" s="210">
        <f>'INITIAL DATA'!R20</f>
        <v>0.10961068525258701</v>
      </c>
      <c r="G25" s="210">
        <f>'INITIAL DATA'!V20</f>
        <v>0.1140822427863616</v>
      </c>
      <c r="H25" s="210">
        <f>'INITIAL DATA'!Z20</f>
        <v>0.11921002264585397</v>
      </c>
    </row>
    <row r="26" spans="3:15" s="11" customFormat="1" ht="17.25" customHeight="1">
      <c r="C26" s="211" t="s">
        <v>32</v>
      </c>
      <c r="D26" s="210">
        <f>'INITIAL DATA'!J21</f>
        <v>0.338257867794656</v>
      </c>
      <c r="E26" s="210">
        <f>'INITIAL DATA'!N21</f>
        <v>0.35048209972602501</v>
      </c>
      <c r="F26" s="210">
        <f>'INITIAL DATA'!R21</f>
        <v>0.36864919694758197</v>
      </c>
      <c r="G26" s="210">
        <f>'INITIAL DATA'!V21</f>
        <v>0.38368820605634041</v>
      </c>
      <c r="H26" s="210">
        <f>'INITIAL DATA'!Z21</f>
        <v>0.40093426124676013</v>
      </c>
    </row>
    <row r="27" spans="3:15" s="11" customFormat="1" ht="17.25" customHeight="1">
      <c r="C27" s="234" t="s">
        <v>33</v>
      </c>
      <c r="D27" s="210">
        <f>'INITIAL DATA'!J22</f>
        <v>0.47085751655358454</v>
      </c>
      <c r="E27" s="210">
        <f>'INITIAL DATA'!N22</f>
        <v>0.45173494452130208</v>
      </c>
      <c r="F27" s="210">
        <f>'INITIAL DATA'!R22</f>
        <v>0.42331584815703716</v>
      </c>
      <c r="G27" s="210">
        <f>'INITIAL DATA'!V22</f>
        <v>0.39979007274709866</v>
      </c>
      <c r="H27" s="210">
        <f>'INITIAL DATA'!Z22</f>
        <v>0.37481259922887161</v>
      </c>
    </row>
    <row r="28" spans="3:15" s="11" customFormat="1" ht="17.25" customHeight="1">
      <c r="C28" s="416" t="s">
        <v>27</v>
      </c>
      <c r="D28" s="210">
        <f>'INITIAL DATA'!J23</f>
        <v>9.031020239371805E-2</v>
      </c>
      <c r="E28" s="210">
        <f>'INITIAL DATA'!N23</f>
        <v>9.3573904335160746E-2</v>
      </c>
      <c r="F28" s="210">
        <f>'INITIAL DATA'!R23</f>
        <v>9.8424269642793882E-2</v>
      </c>
      <c r="G28" s="210">
        <f>'INITIAL DATA'!V23</f>
        <v>0.10243947841019926</v>
      </c>
      <c r="H28" s="210">
        <f>'INITIAL DATA'!Z23</f>
        <v>0.10504311687851434</v>
      </c>
    </row>
    <row r="29" spans="3:15" s="11" customFormat="1" ht="17.25" customHeight="1">
      <c r="C29" s="243"/>
      <c r="D29" s="210"/>
      <c r="E29" s="210"/>
      <c r="F29" s="210"/>
      <c r="G29" s="210"/>
      <c r="H29" s="210"/>
    </row>
    <row r="30" spans="3:15" s="11" customFormat="1" ht="17.25" customHeight="1">
      <c r="C30" s="243"/>
      <c r="D30" s="210"/>
      <c r="E30" s="210"/>
      <c r="F30" s="210"/>
      <c r="G30" s="210"/>
      <c r="H30" s="210"/>
    </row>
    <row r="31" spans="3:15" s="11" customFormat="1" ht="17.25" customHeight="1"/>
    <row r="32" spans="3:15" s="11" customFormat="1" ht="17.25" customHeight="1">
      <c r="C32" s="150" t="s">
        <v>207</v>
      </c>
      <c r="D32" s="411" t="s">
        <v>11</v>
      </c>
      <c r="E32" s="411" t="s">
        <v>12</v>
      </c>
      <c r="F32" s="411" t="s">
        <v>13</v>
      </c>
      <c r="G32" s="411" t="s">
        <v>14</v>
      </c>
      <c r="H32" s="411" t="s">
        <v>15</v>
      </c>
    </row>
    <row r="33" spans="3:8" s="11" customFormat="1" ht="17.25" customHeight="1">
      <c r="C33" s="209" t="s">
        <v>31</v>
      </c>
      <c r="D33" s="198">
        <f>D$22*D25</f>
        <v>3085401.9915442332</v>
      </c>
      <c r="E33" s="198">
        <f>E$22*E25</f>
        <v>3206514.1611487642</v>
      </c>
      <c r="F33" s="198">
        <f>F$22*F25</f>
        <v>3387758.0456879861</v>
      </c>
      <c r="G33" s="198">
        <f>G$22*G25</f>
        <v>3542466.7226865757</v>
      </c>
      <c r="H33" s="198">
        <f>H$22*H25</f>
        <v>3720912.4885404585</v>
      </c>
    </row>
    <row r="34" spans="3:8" s="11" customFormat="1" ht="17.25" customHeight="1">
      <c r="C34" s="211" t="s">
        <v>32</v>
      </c>
      <c r="D34" s="198">
        <f t="shared" ref="D34:H34" si="2">D$22*D26</f>
        <v>10377008.079295868</v>
      </c>
      <c r="E34" s="198">
        <f t="shared" si="2"/>
        <v>10784339.75469232</v>
      </c>
      <c r="F34" s="198">
        <f t="shared" si="2"/>
        <v>11393910.001726858</v>
      </c>
      <c r="G34" s="198">
        <f t="shared" si="2"/>
        <v>11914235.455444489</v>
      </c>
      <c r="H34" s="198">
        <f t="shared" si="2"/>
        <v>12514394.902756926</v>
      </c>
    </row>
    <row r="35" spans="3:8" s="11" customFormat="1" ht="17.25" customHeight="1">
      <c r="C35" s="234" t="s">
        <v>33</v>
      </c>
      <c r="D35" s="198">
        <f t="shared" ref="D35:H35" si="3">D$22*D27</f>
        <v>14444873.922163734</v>
      </c>
      <c r="E35" s="198">
        <f t="shared" si="3"/>
        <v>13899891.391295107</v>
      </c>
      <c r="F35" s="198">
        <f t="shared" si="3"/>
        <v>13083502.462889578</v>
      </c>
      <c r="G35" s="198">
        <f t="shared" si="3"/>
        <v>12414228.491450664</v>
      </c>
      <c r="H35" s="198">
        <f t="shared" si="3"/>
        <v>11699057.263634559</v>
      </c>
    </row>
    <row r="36" spans="3:8" s="11" customFormat="1" ht="17.25" customHeight="1">
      <c r="C36" s="416" t="s">
        <v>27</v>
      </c>
      <c r="D36" s="198">
        <f t="shared" ref="D36:H36" si="4">D$22*D28</f>
        <v>2770518.557313696</v>
      </c>
      <c r="E36" s="198">
        <f t="shared" si="4"/>
        <v>2879270.5171313975</v>
      </c>
      <c r="F36" s="198">
        <f t="shared" si="4"/>
        <v>3042017.3964332468</v>
      </c>
      <c r="G36" s="198">
        <f t="shared" si="4"/>
        <v>3180937.1423129463</v>
      </c>
      <c r="H36" s="198">
        <f t="shared" si="4"/>
        <v>3278719.6642821264</v>
      </c>
    </row>
    <row r="37" spans="3:8" s="11" customFormat="1" ht="17.25" customHeight="1">
      <c r="C37" s="243"/>
      <c r="D37" s="417"/>
      <c r="E37" s="417"/>
      <c r="F37" s="417"/>
      <c r="G37" s="417"/>
      <c r="H37" s="417"/>
    </row>
    <row r="38" spans="3:8" s="11" customFormat="1" ht="17.25" customHeight="1">
      <c r="C38" s="243"/>
      <c r="D38" s="417"/>
      <c r="E38" s="417"/>
      <c r="F38" s="417"/>
      <c r="G38" s="417"/>
      <c r="H38" s="417"/>
    </row>
    <row r="39" spans="3:8" s="11" customFormat="1" ht="17.25" customHeight="1"/>
    <row r="40" spans="3:8" s="11" customFormat="1" ht="17.25" customHeight="1">
      <c r="C40" s="150" t="s">
        <v>208</v>
      </c>
      <c r="D40" s="411" t="s">
        <v>11</v>
      </c>
      <c r="E40" s="411" t="s">
        <v>12</v>
      </c>
      <c r="F40" s="411" t="s">
        <v>13</v>
      </c>
      <c r="G40" s="411" t="s">
        <v>14</v>
      </c>
      <c r="H40" s="411" t="s">
        <v>15</v>
      </c>
    </row>
    <row r="41" spans="3:8" s="11" customFormat="1" ht="17.25" customHeight="1">
      <c r="C41" s="209" t="s">
        <v>31</v>
      </c>
      <c r="D41" s="213">
        <f>'INITIAL DATA'!G20</f>
        <v>25098666.666666672</v>
      </c>
      <c r="E41" s="213">
        <f>'INITIAL DATA'!K20</f>
        <v>27106560.000000007</v>
      </c>
      <c r="F41" s="213">
        <f>'INITIAL DATA'!O20</f>
        <v>29817216.000000011</v>
      </c>
      <c r="G41" s="213">
        <f>'INITIAL DATA'!S20</f>
        <v>32202593.280000012</v>
      </c>
      <c r="H41" s="213">
        <f>'INITIAL DATA'!W20</f>
        <v>34456774.809600018</v>
      </c>
    </row>
    <row r="42" spans="3:8" s="11" customFormat="1" ht="17.25" customHeight="1">
      <c r="C42" s="211" t="s">
        <v>32</v>
      </c>
      <c r="D42" s="213">
        <f>'INITIAL DATA'!G21</f>
        <v>7448235.2941176472</v>
      </c>
      <c r="E42" s="213">
        <f>'INITIAL DATA'!K21</f>
        <v>8044094.1176470593</v>
      </c>
      <c r="F42" s="213">
        <f>'INITIAL DATA'!O21</f>
        <v>8848503.5294117667</v>
      </c>
      <c r="G42" s="213">
        <f>'INITIAL DATA'!S21</f>
        <v>9556383.8117647078</v>
      </c>
      <c r="H42" s="213">
        <f>'INITIAL DATA'!W21</f>
        <v>10225330.678588238</v>
      </c>
    </row>
    <row r="43" spans="3:8" s="11" customFormat="1" ht="17.25" customHeight="1">
      <c r="C43" s="234" t="s">
        <v>33</v>
      </c>
      <c r="D43" s="213">
        <f>'INITIAL DATA'!G22</f>
        <v>271163076.92307693</v>
      </c>
      <c r="E43" s="213">
        <f>'INITIAL DATA'!K22</f>
        <v>271163076.92307693</v>
      </c>
      <c r="F43" s="213">
        <f>'INITIAL DATA'!O22</f>
        <v>265739815.38461539</v>
      </c>
      <c r="G43" s="213">
        <f>'INITIAL DATA'!S22</f>
        <v>260425019.07692307</v>
      </c>
      <c r="H43" s="213">
        <f>'INITIAL DATA'!W22</f>
        <v>250008018.31384614</v>
      </c>
    </row>
    <row r="44" spans="3:8" s="11" customFormat="1" ht="17.25" customHeight="1">
      <c r="C44" s="416" t="s">
        <v>27</v>
      </c>
      <c r="D44" s="213">
        <f>'INITIAL DATA'!G23</f>
        <v>22537200</v>
      </c>
      <c r="E44" s="213">
        <f>'INITIAL DATA'!K23</f>
        <v>24340176</v>
      </c>
      <c r="F44" s="213">
        <f>'INITIAL DATA'!O23</f>
        <v>26774193.600000001</v>
      </c>
      <c r="G44" s="213">
        <f>'INITIAL DATA'!S23</f>
        <v>28916129.088000003</v>
      </c>
      <c r="H44" s="213">
        <f>'INITIAL DATA'!W23</f>
        <v>30361935.542400006</v>
      </c>
    </row>
    <row r="45" spans="3:8" s="11" customFormat="1" ht="17.25" customHeight="1">
      <c r="C45" s="243"/>
      <c r="D45" s="213"/>
      <c r="E45" s="213"/>
      <c r="F45" s="213"/>
      <c r="G45" s="213"/>
      <c r="H45" s="213"/>
    </row>
    <row r="46" spans="3:8" s="11" customFormat="1" ht="17.25" customHeight="1">
      <c r="C46" s="243"/>
      <c r="D46" s="213"/>
      <c r="E46" s="213"/>
      <c r="F46" s="213"/>
      <c r="G46" s="213"/>
      <c r="H46" s="213"/>
    </row>
    <row r="47" spans="3:8" s="11" customFormat="1" ht="17.25" customHeight="1"/>
    <row r="48" spans="3:8" s="11" customFormat="1" ht="17.25" customHeight="1">
      <c r="C48" s="317"/>
      <c r="D48" s="689" t="s">
        <v>209</v>
      </c>
      <c r="E48" s="689"/>
      <c r="F48" s="689"/>
      <c r="G48" s="689"/>
      <c r="H48" s="689"/>
    </row>
    <row r="49" spans="2:16" s="11" customFormat="1" ht="17.25" customHeight="1">
      <c r="C49" s="150"/>
      <c r="D49" s="411" t="s">
        <v>11</v>
      </c>
      <c r="E49" s="411" t="s">
        <v>12</v>
      </c>
      <c r="F49" s="411" t="s">
        <v>13</v>
      </c>
      <c r="G49" s="411" t="s">
        <v>14</v>
      </c>
      <c r="H49" s="411" t="s">
        <v>15</v>
      </c>
    </row>
    <row r="50" spans="2:16" s="11" customFormat="1" ht="17.25" customHeight="1">
      <c r="C50" s="209" t="s">
        <v>31</v>
      </c>
      <c r="D50" s="214">
        <f>D33/D41</f>
        <v>0.12293091232778232</v>
      </c>
      <c r="E50" s="214">
        <f t="shared" ref="E50:H50" si="5">E33/E41</f>
        <v>0.11829292101796625</v>
      </c>
      <c r="F50" s="214">
        <f t="shared" si="5"/>
        <v>0.11361751699715979</v>
      </c>
      <c r="G50" s="214">
        <f t="shared" si="5"/>
        <v>0.1100056350084913</v>
      </c>
      <c r="H50" s="214">
        <f t="shared" si="5"/>
        <v>0.10798783429677734</v>
      </c>
    </row>
    <row r="51" spans="2:16" s="11" customFormat="1" ht="17.25" customHeight="1">
      <c r="C51" s="211" t="s">
        <v>32</v>
      </c>
      <c r="D51" s="214">
        <f t="shared" ref="D51:H51" si="6">D34/D42</f>
        <v>1.3932170063815335</v>
      </c>
      <c r="E51" s="214">
        <f t="shared" si="6"/>
        <v>1.3406531048702843</v>
      </c>
      <c r="F51" s="214">
        <f t="shared" si="6"/>
        <v>1.2876651926344778</v>
      </c>
      <c r="G51" s="214">
        <f t="shared" si="6"/>
        <v>1.2467305300962346</v>
      </c>
      <c r="H51" s="214">
        <f t="shared" si="6"/>
        <v>1.2238621220301433</v>
      </c>
    </row>
    <row r="52" spans="2:16" s="11" customFormat="1" ht="17.25" customHeight="1">
      <c r="C52" s="234" t="s">
        <v>33</v>
      </c>
      <c r="D52" s="214">
        <f t="shared" ref="D52:H52" si="7">D35/D43</f>
        <v>5.3270062008705675E-2</v>
      </c>
      <c r="E52" s="214">
        <f t="shared" si="7"/>
        <v>5.1260265774452043E-2</v>
      </c>
      <c r="F52" s="214">
        <f t="shared" si="7"/>
        <v>4.9234257365435907E-2</v>
      </c>
      <c r="G52" s="214">
        <f t="shared" si="7"/>
        <v>4.7669108503679551E-2</v>
      </c>
      <c r="H52" s="214">
        <f t="shared" si="7"/>
        <v>4.6794728195270176E-2</v>
      </c>
    </row>
    <row r="53" spans="2:16" s="11" customFormat="1" ht="17.25" customHeight="1">
      <c r="C53" s="416" t="s">
        <v>27</v>
      </c>
      <c r="D53" s="214">
        <f t="shared" ref="D53:H53" si="8">D36/D44</f>
        <v>0.12293091232778233</v>
      </c>
      <c r="E53" s="214">
        <f t="shared" si="8"/>
        <v>0.11829292101796625</v>
      </c>
      <c r="F53" s="214">
        <f t="shared" si="8"/>
        <v>0.11361751699715979</v>
      </c>
      <c r="G53" s="214">
        <f t="shared" si="8"/>
        <v>0.11000563500849128</v>
      </c>
      <c r="H53" s="214">
        <f t="shared" si="8"/>
        <v>0.10798783429677734</v>
      </c>
    </row>
    <row r="54" spans="2:16" s="11" customFormat="1" ht="17.25" customHeight="1">
      <c r="C54" s="243"/>
      <c r="D54" s="215"/>
      <c r="E54" s="215"/>
      <c r="F54" s="215"/>
      <c r="G54" s="215"/>
      <c r="H54" s="215"/>
    </row>
    <row r="55" spans="2:16" s="11" customFormat="1" ht="17.25" customHeight="1">
      <c r="C55" s="243"/>
      <c r="D55" s="215"/>
      <c r="E55" s="215"/>
      <c r="F55" s="215"/>
      <c r="G55" s="215"/>
      <c r="H55" s="215"/>
    </row>
    <row r="56" spans="2:16" s="11" customFormat="1" ht="17.25" customHeight="1"/>
    <row r="57" spans="2:16" s="11" customFormat="1" ht="17.25" customHeight="1">
      <c r="B57" s="216"/>
      <c r="C57" s="216"/>
      <c r="D57" s="216"/>
      <c r="E57" s="216"/>
      <c r="F57" s="216"/>
      <c r="G57" s="216"/>
      <c r="H57" s="216"/>
      <c r="I57" s="216"/>
    </row>
    <row r="58" spans="2:16" s="11" customFormat="1" ht="17.25" customHeight="1">
      <c r="B58" s="216"/>
      <c r="C58" s="216"/>
      <c r="D58" s="689" t="s">
        <v>210</v>
      </c>
      <c r="E58" s="689"/>
      <c r="F58" s="689"/>
      <c r="G58" s="689"/>
      <c r="H58" s="689"/>
      <c r="I58" s="216"/>
      <c r="O58" s="194"/>
      <c r="P58" s="194"/>
    </row>
    <row r="59" spans="2:16" s="11" customFormat="1" ht="17.25" customHeight="1">
      <c r="B59" s="216"/>
      <c r="C59" s="418" t="s">
        <v>211</v>
      </c>
      <c r="D59" s="411" t="s">
        <v>11</v>
      </c>
      <c r="E59" s="411" t="s">
        <v>12</v>
      </c>
      <c r="F59" s="411" t="s">
        <v>13</v>
      </c>
      <c r="G59" s="411" t="s">
        <v>14</v>
      </c>
      <c r="H59" s="411" t="s">
        <v>15</v>
      </c>
      <c r="I59" s="216"/>
    </row>
    <row r="60" spans="2:16" s="11" customFormat="1" ht="17.25" customHeight="1">
      <c r="B60" s="216"/>
      <c r="C60" s="419" t="s">
        <v>31</v>
      </c>
      <c r="D60" s="214">
        <f>$D$50+VLOOKUP(Dashboard!$I$22,FEES!$K$65:$L$66,2,FALSE)</f>
        <v>0.12293091232778232</v>
      </c>
      <c r="E60" s="214">
        <f>$D$50+VLOOKUP(Dashboard!$I$22,FEES!$K$65:$L$66,2,FALSE)</f>
        <v>0.12293091232778232</v>
      </c>
      <c r="F60" s="214">
        <f>$D$50+VLOOKUP(Dashboard!$I$22,FEES!$K$65:$L$66,2,FALSE)</f>
        <v>0.12293091232778232</v>
      </c>
      <c r="G60" s="214">
        <f>$D$50+VLOOKUP(Dashboard!$I$22,FEES!$K$65:$L$66,2,FALSE)</f>
        <v>0.12293091232778232</v>
      </c>
      <c r="H60" s="214">
        <f>$D$50+VLOOKUP(Dashboard!$I$22,FEES!$K$65:$L$66,2,FALSE)</f>
        <v>0.12293091232778232</v>
      </c>
      <c r="I60" s="216"/>
    </row>
    <row r="61" spans="2:16" s="11" customFormat="1" ht="17.25" customHeight="1">
      <c r="B61" s="216"/>
      <c r="C61" s="420" t="s">
        <v>32</v>
      </c>
      <c r="D61" s="214">
        <f>$D$51+VLOOKUP(Dashboard!$I$16,FEES!$K$69:$L$70,2,FALSE)</f>
        <v>1.3932170063815335</v>
      </c>
      <c r="E61" s="214">
        <f>E34/E42+VLOOKUP(Dashboard!$I$16,FEES!$K$69:$L$70,2,FALSE)</f>
        <v>1.3406531048702843</v>
      </c>
      <c r="F61" s="214">
        <f>F34/F42+VLOOKUP(Dashboard!$I$16,FEES!$K$69:$L$70,2,FALSE)</f>
        <v>1.2876651926344778</v>
      </c>
      <c r="G61" s="214">
        <f>G34/G42+VLOOKUP(Dashboard!$I$16,FEES!$K$69:$L$70,2,FALSE)</f>
        <v>1.2467305300962346</v>
      </c>
      <c r="H61" s="214">
        <f>H34/H42+VLOOKUP(Dashboard!$I$16,FEES!$K$69:$L$70,2,FALSE)</f>
        <v>1.2238621220301433</v>
      </c>
      <c r="I61" s="216"/>
    </row>
    <row r="62" spans="2:16" s="11" customFormat="1" ht="17.25" customHeight="1">
      <c r="B62" s="216"/>
      <c r="C62" s="421" t="s">
        <v>33</v>
      </c>
      <c r="D62" s="214">
        <f>D52</f>
        <v>5.3270062008705675E-2</v>
      </c>
      <c r="E62" s="214">
        <f t="shared" ref="E62:G62" si="9">E52</f>
        <v>5.1260265774452043E-2</v>
      </c>
      <c r="F62" s="214">
        <f t="shared" si="9"/>
        <v>4.9234257365435907E-2</v>
      </c>
      <c r="G62" s="214">
        <f t="shared" si="9"/>
        <v>4.7669108503679551E-2</v>
      </c>
      <c r="H62" s="214">
        <f>H52</f>
        <v>4.6794728195270176E-2</v>
      </c>
      <c r="I62" s="216"/>
    </row>
    <row r="63" spans="2:16" s="11" customFormat="1" ht="17.25" customHeight="1" thickBot="1">
      <c r="B63" s="216"/>
      <c r="C63" s="212" t="s">
        <v>27</v>
      </c>
      <c r="D63" s="214">
        <f>$D$53+VLOOKUP(Dashboard!$I$19,FEES!$K$73:$L$74,2,FALSE)</f>
        <v>0.15793091232778231</v>
      </c>
      <c r="E63" s="214">
        <f>$D$53+VLOOKUP(Dashboard!$I$19,FEES!$K$73:$L$74,2,FALSE)</f>
        <v>0.15793091232778231</v>
      </c>
      <c r="F63" s="214">
        <f>$D$53+VLOOKUP(Dashboard!$I$19,FEES!$K$73:$L$74,2,FALSE)</f>
        <v>0.15793091232778231</v>
      </c>
      <c r="G63" s="214">
        <f>$D$53+VLOOKUP(Dashboard!$I$19,FEES!$K$73:$L$74,2,FALSE)</f>
        <v>0.15793091232778231</v>
      </c>
      <c r="H63" s="214">
        <f>$D$53+VLOOKUP(Dashboard!$I$19,FEES!$K$73:$L$74,2,FALSE)</f>
        <v>0.15793091232778231</v>
      </c>
      <c r="I63" s="216"/>
    </row>
    <row r="64" spans="2:16" s="11" customFormat="1" ht="17.25" customHeight="1" thickBot="1">
      <c r="B64" s="216"/>
      <c r="C64" s="43"/>
      <c r="D64" s="215"/>
      <c r="E64" s="215"/>
      <c r="F64" s="215"/>
      <c r="G64" s="215"/>
      <c r="H64" s="215"/>
      <c r="I64" s="216"/>
      <c r="K64" s="722" t="s">
        <v>289</v>
      </c>
      <c r="L64" s="723"/>
    </row>
    <row r="65" spans="2:12" s="11" customFormat="1" ht="17.25" customHeight="1" thickBot="1">
      <c r="B65" s="216"/>
      <c r="C65" s="43"/>
      <c r="D65" s="215"/>
      <c r="E65" s="215"/>
      <c r="F65" s="215"/>
      <c r="G65" s="215"/>
      <c r="H65" s="215"/>
      <c r="I65" s="216"/>
      <c r="K65" s="188" t="s">
        <v>17</v>
      </c>
      <c r="L65" s="189">
        <v>0</v>
      </c>
    </row>
    <row r="66" spans="2:12" s="11" customFormat="1" ht="17.25" customHeight="1" thickBot="1">
      <c r="B66" s="216"/>
      <c r="C66" s="216"/>
      <c r="D66" s="216"/>
      <c r="E66" s="216"/>
      <c r="F66" s="216"/>
      <c r="G66" s="216"/>
      <c r="H66" s="216"/>
      <c r="I66" s="216"/>
      <c r="K66" s="190" t="s">
        <v>19</v>
      </c>
      <c r="L66" s="191">
        <f>Dashboard!I14</f>
        <v>3.4999999999999976E-2</v>
      </c>
    </row>
    <row r="67" spans="2:12" s="11" customFormat="1" ht="17.25" customHeight="1" thickBot="1">
      <c r="K67" s="217"/>
      <c r="L67" s="217"/>
    </row>
    <row r="68" spans="2:12" s="11" customFormat="1" ht="17.25" customHeight="1" thickBot="1">
      <c r="C68" s="719" t="s">
        <v>212</v>
      </c>
      <c r="D68" s="719"/>
      <c r="E68" s="719"/>
      <c r="F68" s="719"/>
      <c r="G68" s="719"/>
      <c r="H68" s="719"/>
      <c r="K68" s="708" t="s">
        <v>213</v>
      </c>
      <c r="L68" s="709"/>
    </row>
    <row r="69" spans="2:12" s="11" customFormat="1" ht="17.25" customHeight="1" thickBot="1">
      <c r="C69" s="719"/>
      <c r="D69" s="719"/>
      <c r="E69" s="719"/>
      <c r="F69" s="719"/>
      <c r="G69" s="719"/>
      <c r="H69" s="719"/>
      <c r="K69" s="188" t="s">
        <v>17</v>
      </c>
      <c r="L69" s="189">
        <v>0</v>
      </c>
    </row>
    <row r="70" spans="2:12" s="11" customFormat="1" ht="17.25" customHeight="1" thickBot="1">
      <c r="C70" s="720" t="s">
        <v>214</v>
      </c>
      <c r="D70" s="720"/>
      <c r="E70" s="720"/>
      <c r="F70" s="720"/>
      <c r="G70" s="720"/>
      <c r="H70" s="720"/>
      <c r="K70" s="190" t="s">
        <v>19</v>
      </c>
      <c r="L70" s="191">
        <f>Dashboard!I14</f>
        <v>3.4999999999999976E-2</v>
      </c>
    </row>
    <row r="71" spans="2:12" s="11" customFormat="1" ht="17.25" customHeight="1" thickBot="1">
      <c r="C71" s="714"/>
      <c r="D71" s="714"/>
      <c r="E71" s="714"/>
      <c r="F71" s="714"/>
      <c r="G71" s="714"/>
      <c r="H71" s="714"/>
      <c r="K71" s="217"/>
      <c r="L71" s="217"/>
    </row>
    <row r="72" spans="2:12" s="11" customFormat="1" ht="17.25" customHeight="1" thickBot="1">
      <c r="K72" s="706" t="s">
        <v>215</v>
      </c>
      <c r="L72" s="707"/>
    </row>
    <row r="73" spans="2:12" s="11" customFormat="1" ht="17.25" customHeight="1" thickBot="1">
      <c r="K73" s="192" t="s">
        <v>17</v>
      </c>
      <c r="L73" s="189">
        <v>0</v>
      </c>
    </row>
    <row r="74" spans="2:12" s="11" customFormat="1" ht="17.25" customHeight="1" thickBot="1">
      <c r="D74" s="721" t="s">
        <v>363</v>
      </c>
      <c r="E74" s="721"/>
      <c r="F74" s="721"/>
      <c r="G74" s="721"/>
      <c r="H74" s="721"/>
      <c r="K74" s="193" t="s">
        <v>19</v>
      </c>
      <c r="L74" s="191">
        <f>Dashboard!I14</f>
        <v>3.4999999999999976E-2</v>
      </c>
    </row>
    <row r="75" spans="2:12" s="11" customFormat="1" ht="17.25" customHeight="1">
      <c r="D75" s="411" t="s">
        <v>11</v>
      </c>
      <c r="E75" s="411" t="s">
        <v>12</v>
      </c>
      <c r="F75" s="411" t="s">
        <v>13</v>
      </c>
      <c r="G75" s="411" t="s">
        <v>14</v>
      </c>
      <c r="H75" s="411" t="s">
        <v>15</v>
      </c>
    </row>
    <row r="76" spans="2:12" s="11" customFormat="1" ht="17.25" customHeight="1">
      <c r="C76" s="419" t="s">
        <v>31</v>
      </c>
      <c r="D76" s="214">
        <f>Dashboard!$I$12</f>
        <v>0.3</v>
      </c>
      <c r="E76" s="214">
        <f>Dashboard!$I$12</f>
        <v>0.3</v>
      </c>
      <c r="F76" s="214">
        <f>Dashboard!$I$12</f>
        <v>0.3</v>
      </c>
      <c r="G76" s="214">
        <f>Dashboard!$I$12</f>
        <v>0.3</v>
      </c>
      <c r="H76" s="214">
        <f>Dashboard!$I$12</f>
        <v>0.3</v>
      </c>
    </row>
    <row r="77" spans="2:12" s="11" customFormat="1" ht="17.25" customHeight="1">
      <c r="C77" s="420" t="s">
        <v>32</v>
      </c>
      <c r="D77" s="214">
        <f>Dashboard!$I$12</f>
        <v>0.3</v>
      </c>
      <c r="E77" s="214">
        <f>Dashboard!$I$12</f>
        <v>0.3</v>
      </c>
      <c r="F77" s="214">
        <f>Dashboard!$I$12</f>
        <v>0.3</v>
      </c>
      <c r="G77" s="214">
        <f>Dashboard!$I$12</f>
        <v>0.3</v>
      </c>
      <c r="H77" s="214">
        <f>Dashboard!$I$12</f>
        <v>0.3</v>
      </c>
    </row>
    <row r="78" spans="2:12" s="11" customFormat="1" ht="17.25" customHeight="1">
      <c r="C78" s="421" t="s">
        <v>33</v>
      </c>
      <c r="D78" s="214">
        <f>Dashboard!$I$12</f>
        <v>0.3</v>
      </c>
      <c r="E78" s="214">
        <f>Dashboard!$I$12</f>
        <v>0.3</v>
      </c>
      <c r="F78" s="214">
        <f>Dashboard!$I$12</f>
        <v>0.3</v>
      </c>
      <c r="G78" s="214">
        <f>Dashboard!$I$12</f>
        <v>0.3</v>
      </c>
      <c r="H78" s="214">
        <f>Dashboard!$I$12</f>
        <v>0.3</v>
      </c>
    </row>
    <row r="79" spans="2:12" s="11" customFormat="1" ht="17.25" customHeight="1">
      <c r="C79" s="212" t="s">
        <v>27</v>
      </c>
      <c r="D79" s="214">
        <f>Dashboard!$I$12</f>
        <v>0.3</v>
      </c>
      <c r="E79" s="214">
        <f>Dashboard!$I$12</f>
        <v>0.3</v>
      </c>
      <c r="F79" s="214">
        <f>Dashboard!$I$12</f>
        <v>0.3</v>
      </c>
      <c r="G79" s="214">
        <f>Dashboard!$I$12</f>
        <v>0.3</v>
      </c>
      <c r="H79" s="214">
        <f>Dashboard!$I$12</f>
        <v>0.3</v>
      </c>
    </row>
    <row r="80" spans="2:12" s="11" customFormat="1" ht="17.25" customHeight="1">
      <c r="C80" s="43"/>
      <c r="D80" s="215"/>
      <c r="E80" s="215"/>
      <c r="F80" s="215"/>
      <c r="G80" s="215"/>
      <c r="H80" s="215"/>
    </row>
    <row r="81" spans="3:8" s="11" customFormat="1" ht="17.25" customHeight="1">
      <c r="C81" s="43"/>
      <c r="D81" s="215"/>
      <c r="E81" s="215"/>
      <c r="F81" s="215"/>
      <c r="G81" s="215"/>
      <c r="H81" s="215"/>
    </row>
    <row r="82" spans="3:8" s="11" customFormat="1" ht="17.25" customHeight="1"/>
    <row r="83" spans="3:8" s="11" customFormat="1" ht="17.25" customHeight="1">
      <c r="C83" s="718" t="s">
        <v>216</v>
      </c>
      <c r="D83" s="718"/>
      <c r="E83" s="718"/>
      <c r="F83" s="718"/>
      <c r="G83" s="718"/>
      <c r="H83" s="718"/>
    </row>
    <row r="84" spans="3:8" s="11" customFormat="1" ht="17.25" customHeight="1">
      <c r="C84" s="718"/>
      <c r="D84" s="718"/>
      <c r="E84" s="718"/>
      <c r="F84" s="718"/>
      <c r="G84" s="718"/>
      <c r="H84" s="718"/>
    </row>
    <row r="85" spans="3:8" s="11" customFormat="1" ht="17.25" customHeight="1">
      <c r="C85" s="713" t="s">
        <v>364</v>
      </c>
      <c r="D85" s="713"/>
      <c r="E85" s="713"/>
      <c r="F85" s="713"/>
      <c r="G85" s="713"/>
      <c r="H85" s="713"/>
    </row>
    <row r="86" spans="3:8" s="11" customFormat="1" ht="17.25" customHeight="1">
      <c r="C86" s="714"/>
      <c r="D86" s="714"/>
      <c r="E86" s="714"/>
      <c r="F86" s="714"/>
      <c r="G86" s="714"/>
      <c r="H86" s="714"/>
    </row>
    <row r="87" spans="3:8" s="11" customFormat="1" ht="17.25" customHeight="1"/>
    <row r="88" spans="3:8" s="11" customFormat="1" ht="17.25" customHeight="1">
      <c r="D88" s="705" t="s">
        <v>217</v>
      </c>
      <c r="E88" s="705"/>
      <c r="F88" s="705"/>
      <c r="G88" s="705"/>
      <c r="H88" s="705"/>
    </row>
    <row r="89" spans="3:8" s="11" customFormat="1" ht="17.25" customHeight="1">
      <c r="C89" s="423" t="s">
        <v>218</v>
      </c>
      <c r="D89" s="411" t="s">
        <v>11</v>
      </c>
      <c r="E89" s="411" t="s">
        <v>12</v>
      </c>
      <c r="F89" s="411" t="s">
        <v>13</v>
      </c>
      <c r="G89" s="411" t="s">
        <v>14</v>
      </c>
      <c r="H89" s="411" t="s">
        <v>15</v>
      </c>
    </row>
    <row r="90" spans="3:8" s="11" customFormat="1" ht="17.25" customHeight="1">
      <c r="C90" s="419" t="s">
        <v>31</v>
      </c>
      <c r="D90" s="214">
        <f t="shared" ref="D90:H93" si="10">D60+D76</f>
        <v>0.42293091232778229</v>
      </c>
      <c r="E90" s="214">
        <f t="shared" si="10"/>
        <v>0.42293091232778229</v>
      </c>
      <c r="F90" s="214">
        <f t="shared" si="10"/>
        <v>0.42293091232778229</v>
      </c>
      <c r="G90" s="214">
        <f t="shared" si="10"/>
        <v>0.42293091232778229</v>
      </c>
      <c r="H90" s="214">
        <f t="shared" si="10"/>
        <v>0.42293091232778229</v>
      </c>
    </row>
    <row r="91" spans="3:8" s="11" customFormat="1" ht="17.25" customHeight="1">
      <c r="C91" s="420" t="s">
        <v>32</v>
      </c>
      <c r="D91" s="214">
        <f t="shared" si="10"/>
        <v>1.6932170063815335</v>
      </c>
      <c r="E91" s="214">
        <f t="shared" si="10"/>
        <v>1.6406531048702844</v>
      </c>
      <c r="F91" s="214">
        <f t="shared" si="10"/>
        <v>1.5876651926344778</v>
      </c>
      <c r="G91" s="214">
        <f t="shared" si="10"/>
        <v>1.5467305300962346</v>
      </c>
      <c r="H91" s="214">
        <f t="shared" si="10"/>
        <v>1.5238621220301434</v>
      </c>
    </row>
    <row r="92" spans="3:8" s="11" customFormat="1" ht="17.25" customHeight="1">
      <c r="C92" s="421" t="s">
        <v>33</v>
      </c>
      <c r="D92" s="214">
        <f t="shared" si="10"/>
        <v>0.35327006200870564</v>
      </c>
      <c r="E92" s="214">
        <f t="shared" si="10"/>
        <v>0.35126026577445202</v>
      </c>
      <c r="F92" s="214">
        <f t="shared" si="10"/>
        <v>0.3492342573654359</v>
      </c>
      <c r="G92" s="214">
        <f t="shared" si="10"/>
        <v>0.34766910850367955</v>
      </c>
      <c r="H92" s="214">
        <f t="shared" si="10"/>
        <v>0.34679472819527019</v>
      </c>
    </row>
    <row r="93" spans="3:8" s="11" customFormat="1" ht="17.25" customHeight="1">
      <c r="C93" s="212" t="s">
        <v>27</v>
      </c>
      <c r="D93" s="214">
        <f t="shared" si="10"/>
        <v>0.45793091232778227</v>
      </c>
      <c r="E93" s="214">
        <f t="shared" si="10"/>
        <v>0.45793091232778227</v>
      </c>
      <c r="F93" s="214">
        <f t="shared" si="10"/>
        <v>0.45793091232778227</v>
      </c>
      <c r="G93" s="214">
        <f t="shared" si="10"/>
        <v>0.45793091232778227</v>
      </c>
      <c r="H93" s="214">
        <f t="shared" si="10"/>
        <v>0.45793091232778227</v>
      </c>
    </row>
    <row r="94" spans="3:8" s="11" customFormat="1" ht="17.25" customHeight="1">
      <c r="C94" s="43"/>
      <c r="D94" s="218"/>
      <c r="E94" s="218"/>
      <c r="F94" s="218"/>
      <c r="G94" s="218"/>
      <c r="H94" s="218"/>
    </row>
    <row r="95" spans="3:8" s="11" customFormat="1" ht="17.25" customHeight="1">
      <c r="C95" s="43"/>
      <c r="D95" s="218"/>
      <c r="E95" s="218"/>
      <c r="F95" s="218"/>
      <c r="G95" s="218"/>
      <c r="H95" s="218"/>
    </row>
    <row r="96" spans="3:8" s="11" customFormat="1" ht="17.25" customHeight="1"/>
    <row r="97" s="11" customFormat="1" ht="17.25" customHeight="1"/>
    <row r="98" s="11" customFormat="1" ht="17.25" customHeight="1"/>
    <row r="99" s="11" customFormat="1" ht="17.25" customHeight="1"/>
    <row r="100" s="11" customFormat="1" ht="17.25" customHeight="1"/>
    <row r="101" s="11" customFormat="1" ht="17.25" customHeight="1"/>
    <row r="102" s="11" customFormat="1" ht="17.25" customHeight="1"/>
    <row r="103" s="11" customFormat="1" ht="17.25" customHeight="1"/>
    <row r="104" s="11" customFormat="1" ht="17.25" customHeight="1"/>
    <row r="105" s="11" customFormat="1" ht="17.25" customHeight="1"/>
    <row r="106" s="11" customFormat="1" ht="17.25" customHeight="1"/>
    <row r="107" s="11" customFormat="1" ht="17.25" customHeight="1"/>
  </sheetData>
  <mergeCells count="14">
    <mergeCell ref="D88:H88"/>
    <mergeCell ref="K72:L72"/>
    <mergeCell ref="K68:L68"/>
    <mergeCell ref="C7:I7"/>
    <mergeCell ref="D48:H48"/>
    <mergeCell ref="C85:H86"/>
    <mergeCell ref="C9:H9"/>
    <mergeCell ref="C10:H10"/>
    <mergeCell ref="C83:H84"/>
    <mergeCell ref="C68:H69"/>
    <mergeCell ref="C70:H71"/>
    <mergeCell ref="D58:H58"/>
    <mergeCell ref="D74:H74"/>
    <mergeCell ref="K64:L6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5B3334D5AE55439D0DA9F4A1068A46" ma:contentTypeVersion="15" ma:contentTypeDescription="Een nieuw document maken." ma:contentTypeScope="" ma:versionID="0ed426de501aa712e142e993faef59d2">
  <xsd:schema xmlns:xsd="http://www.w3.org/2001/XMLSchema" xmlns:xs="http://www.w3.org/2001/XMLSchema" xmlns:p="http://schemas.microsoft.com/office/2006/metadata/properties" xmlns:ns2="6f275be4-8ec9-4cd4-9256-da5ef3c419be" xmlns:ns3="68f23b4c-fbed-428a-bb24-2612ae272d33" targetNamespace="http://schemas.microsoft.com/office/2006/metadata/properties" ma:root="true" ma:fieldsID="9bd82aaac374740803e9f01087fa379d" ns2:_="" ns3:_="">
    <xsd:import namespace="6f275be4-8ec9-4cd4-9256-da5ef3c419be"/>
    <xsd:import namespace="68f23b4c-fbed-428a-bb24-2612ae272d3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275be4-8ec9-4cd4-9256-da5ef3c419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Afbeeldingtags" ma:readOnly="false" ma:fieldId="{5cf76f15-5ced-4ddc-b409-7134ff3c332f}" ma:taxonomyMulti="true" ma:sspId="928493c5-d65d-4067-8f1f-5305b80ef5b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8f23b4c-fbed-428a-bb24-2612ae272d3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0cdda53-7e4f-4767-a688-bbde85244a88}" ma:internalName="TaxCatchAll" ma:showField="CatchAllData" ma:web="68f23b4c-fbed-428a-bb24-2612ae272d3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8f23b4c-fbed-428a-bb24-2612ae272d33" xsi:nil="true"/>
    <lcf76f155ced4ddcb4097134ff3c332f xmlns="6f275be4-8ec9-4cd4-9256-da5ef3c419b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2CBE938-6DA1-430C-9F4F-8240413C206E}">
  <ds:schemaRefs>
    <ds:schemaRef ds:uri="http://schemas.microsoft.com/sharepoint/v3/contenttype/forms"/>
  </ds:schemaRefs>
</ds:datastoreItem>
</file>

<file path=customXml/itemProps2.xml><?xml version="1.0" encoding="utf-8"?>
<ds:datastoreItem xmlns:ds="http://schemas.openxmlformats.org/officeDocument/2006/customXml" ds:itemID="{BBD0C473-033C-4A3F-B133-F95C218EA4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275be4-8ec9-4cd4-9256-da5ef3c419be"/>
    <ds:schemaRef ds:uri="68f23b4c-fbed-428a-bb24-2612ae272d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16CACE-6F1B-4B69-B271-2E6EC8BB519E}">
  <ds:schemaRefs>
    <ds:schemaRef ds:uri="http://schemas.microsoft.com/office/2006/documentManagement/types"/>
    <ds:schemaRef ds:uri="6f275be4-8ec9-4cd4-9256-da5ef3c419be"/>
    <ds:schemaRef ds:uri="http://purl.org/dc/elements/1.1/"/>
    <ds:schemaRef ds:uri="http://www.w3.org/XML/1998/namespace"/>
    <ds:schemaRef ds:uri="http://purl.org/dc/dcmitype/"/>
    <ds:schemaRef ds:uri="http://purl.org/dc/terms/"/>
    <ds:schemaRef ds:uri="http://schemas.openxmlformats.org/package/2006/metadata/core-properties"/>
    <ds:schemaRef ds:uri="http://schemas.microsoft.com/office/infopath/2007/PartnerControls"/>
    <ds:schemaRef ds:uri="68f23b4c-fbed-428a-bb24-2612ae272d3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MANUAL</vt:lpstr>
      <vt:lpstr>Collection Scenario</vt:lpstr>
      <vt:lpstr>Questions</vt:lpstr>
      <vt:lpstr>Dashboard</vt:lpstr>
      <vt:lpstr>INITIAL DATA</vt:lpstr>
      <vt:lpstr>INITIAL INVESTMENT</vt:lpstr>
      <vt:lpstr>HANDLING COSTS</vt:lpstr>
      <vt:lpstr>INTERNAL SHIPMENT</vt:lpstr>
      <vt:lpstr>FEES</vt:lpstr>
      <vt:lpstr>OUTPUTS</vt:lpstr>
      <vt:lpstr>EXTERNAL INCOMES</vt:lpstr>
      <vt:lpstr>EXTERNAL SHIPMENT</vt:lpstr>
      <vt:lpstr>Dashboard!Print_Area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Ruben</dc:creator>
  <cp:keywords/>
  <dc:description/>
  <cp:lastModifiedBy>Hilary Boyes</cp:lastModifiedBy>
  <cp:revision/>
  <dcterms:created xsi:type="dcterms:W3CDTF">2015-06-05T18:19:34Z</dcterms:created>
  <dcterms:modified xsi:type="dcterms:W3CDTF">2025-05-23T07:22:04Z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0x010100845B3334D5AE55439D0DA9F4A1068A46</vt:lpwstr>
  </property>
  <property fmtid="{D5CDD505-2E9C-101B-9397-08002B2CF9AE}" pid="3" name="MediaServiceImageTags">
    <vt:lpwstr/>
  </property>
</Properties>
</file>